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uflorida-my.sharepoint.com/personal/athearn_ufl_edu/Documents/P2_CropDecisions/CropEcon_FieldVeg/Cabbage/CabbageBudget/"/>
    </mc:Choice>
  </mc:AlternateContent>
  <xr:revisionPtr revIDLastSave="4" documentId="8_{EA69CA09-C722-450A-A66B-DDED12BD0BF4}" xr6:coauthVersionLast="47" xr6:coauthVersionMax="47" xr10:uidLastSave="{341AD105-DC54-48BC-92CD-29FE2758DC68}"/>
  <bookViews>
    <workbookView xWindow="-22980" yWindow="225" windowWidth="22845" windowHeight="14190" tabRatio="786" xr2:uid="{86C619DF-B97A-4BCD-B946-77042FAA969F}"/>
  </bookViews>
  <sheets>
    <sheet name="BudgetSummary" sheetId="2" r:id="rId1"/>
    <sheet name="HarvestPackSell" sheetId="8" r:id="rId2"/>
    <sheet name="FieldMaterials" sheetId="9" r:id="rId3"/>
    <sheet name="FieldOperations" sheetId="7" r:id="rId4"/>
    <sheet name="FieldDetails" sheetId="14" r:id="rId5"/>
    <sheet name="OperatingRates" sheetId="11" r:id="rId6"/>
    <sheet name="MachineryLists" sheetId="3" r:id="rId7"/>
    <sheet name="Coefficients" sheetId="13" r:id="rId8"/>
  </sheets>
  <definedNames>
    <definedName name="AvgFarmRevenuePerLb">HarvestPackSell!$F$16</definedName>
    <definedName name="CashCropsPerYear">FieldDetails!$E$7</definedName>
    <definedName name="Coeff1">Coefficients!$C$7:$C$35</definedName>
    <definedName name="Coeff2">Coefficients!$D$7:$D$35</definedName>
    <definedName name="Coeff3">Coefficients!$E$7:$E$35</definedName>
    <definedName name="CropInsuranceCostPerAcre">HarvestPackSell!$E$79</definedName>
    <definedName name="CustomCostPerAcre">FieldOperations!$G$59</definedName>
    <definedName name="CustomServices">CustomServiceTable[Custom Services]</definedName>
    <definedName name="DieselOR_CostPerGal">OperatingRates!$C$13</definedName>
    <definedName name="Electric_VarCostPerKWH">OperatingRates!$C$19</definedName>
    <definedName name="FertilizerCostPerAcre">FieldMaterials!$G$22</definedName>
    <definedName name="FieldAcres_Planted">FieldDetails!$E$5</definedName>
    <definedName name="FieldAcres_Total">FieldDetails!$D$5</definedName>
    <definedName name="FieldCostPerAcre">FieldDetails!$E$27</definedName>
    <definedName name="FieldOpsFixedLaborCostPerAcre">FieldOperations!$G$64</definedName>
    <definedName name="FieldOpsFuelCostPerAcre">FieldOperations!$G$67</definedName>
    <definedName name="FieldOpsMachRepairCostPerAcre">FieldOperations!$G$68</definedName>
    <definedName name="FieldOpsVarCost_PreharvestPerAcre">FieldOperations!$L$62</definedName>
    <definedName name="FieldOpsVarLaborCostPerAcre">FieldOperations!$G$63</definedName>
    <definedName name="FixedCostAlloc_PreharvestFieldOpsPerAcre">FieldOperations!$N$62</definedName>
    <definedName name="FixedHPLaborCost">HarvestPackSell!$F$38</definedName>
    <definedName name="FixedHPLaborCostPerAcre">HarvestPackSell!$F$40</definedName>
    <definedName name="FixedHPOverheadPerAcre">HarvestPackSell!$F$72</definedName>
    <definedName name="FoodSafetyCostPerAcre">HarvestPackSell!$E$78</definedName>
    <definedName name="FuelTypes">FuelTable[Fuel Types]</definedName>
    <definedName name="GasolineCostPerGallon">OperatingRates!$C$11</definedName>
    <definedName name="GrossRevenuePerAcre">HarvestPackSell!$F$15</definedName>
    <definedName name="Implements">ImplementTable[Machinery Description]</definedName>
    <definedName name="InterestRate_EffectiveOperating">OperatingRates!$C$24</definedName>
    <definedName name="InterestRate_Machinery">MachineryLists!$C$3</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PowerCostPerAcre">FieldOperations!$I$8</definedName>
    <definedName name="IrrigPowerCostPerAcreInch">FieldDetails!$B$13</definedName>
    <definedName name="IrrigPowerType">FieldDetails!$B$11</definedName>
    <definedName name="IrrigPumpPressure">FieldDetails!$E$9</definedName>
    <definedName name="IrrigRepairCostPerAcre">FieldOperations!$J$8</definedName>
    <definedName name="IrrigRMCostPerAcreInch">FieldDetails!$C$13</definedName>
    <definedName name="IrrigWellDepth">FieldDetails!$D$9</definedName>
    <definedName name="LaborTypes">LaborTable[Labor Types]</definedName>
    <definedName name="MachineCategories">Coefficients!$B$7:$B$35</definedName>
    <definedName name="MachineCoefficientTable">Coefficients!$B$7:$G$35</definedName>
    <definedName name="MachineryFixedCostPerAcre_Preharvest">FieldOperations!$N$34</definedName>
    <definedName name="OtherMaterialCostPerAcre">FieldMaterials!$G$44</definedName>
    <definedName name="PackingMaterialCostPerAcre">HarvestPackSell!$F$23</definedName>
    <definedName name="PesticideCostPerAcre">FieldMaterials!$G$36</definedName>
    <definedName name="Propane_CostPerGal">OperatingRates!$C$14</definedName>
    <definedName name="RepF1">Coefficients!$F$7:$F$35</definedName>
    <definedName name="RepF2">Coefficients!$G$7:$G$35</definedName>
    <definedName name="SeedCostPerAcre">FieldMaterials!$G$7</definedName>
    <definedName name="Tractors">TractorTable[Machinery Description]</definedName>
    <definedName name="VariableHPOverheadPerAcre">HarvestPackSell!$F$55</definedName>
    <definedName name="VarLaborHPCostPerAcre">HarvestPackSell!$F$31</definedName>
    <definedName name="VehicleFixedCostPerAcre">FieldOperations!$G$70</definedName>
    <definedName name="Vehicles">VehicleTable[Vehicle Description]</definedName>
    <definedName name="WholeFarmVegAcres">HarvestPackSell!$F$5</definedName>
    <definedName name="WholeFarmYield">HarvestPackSell!$F$6</definedName>
    <definedName name="YieldPerAcre">HarvestPackSell!$F$4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3" i="7" l="1"/>
  <c r="M43" i="7"/>
  <c r="N42" i="7"/>
  <c r="D42" i="7"/>
  <c r="I42" i="7" s="1"/>
  <c r="H42" i="7"/>
  <c r="J43" i="7"/>
  <c r="I43" i="7"/>
  <c r="H43" i="7"/>
  <c r="K43" i="7" s="1"/>
  <c r="J42" i="7"/>
  <c r="E29" i="7"/>
  <c r="E27" i="7"/>
  <c r="E26" i="7"/>
  <c r="E25" i="7"/>
  <c r="E22" i="7"/>
  <c r="E21" i="7"/>
  <c r="E20" i="7"/>
  <c r="E19" i="7"/>
  <c r="E18" i="7"/>
  <c r="E17" i="7"/>
  <c r="E16" i="7"/>
  <c r="E15" i="7"/>
  <c r="E14" i="7"/>
  <c r="E13" i="7"/>
  <c r="E12" i="7"/>
  <c r="K42" i="7" l="1"/>
  <c r="M42" i="7" s="1"/>
  <c r="F44" i="8" l="1"/>
  <c r="F46" i="8"/>
  <c r="F45" i="8"/>
  <c r="D40" i="7"/>
  <c r="D41" i="7"/>
  <c r="F25" i="7" l="1"/>
  <c r="F18" i="7"/>
  <c r="I46" i="3"/>
  <c r="J46" i="3" s="1"/>
  <c r="L46" i="3" s="1"/>
  <c r="N46" i="3" s="1"/>
  <c r="K46" i="3"/>
  <c r="M46" i="3"/>
  <c r="O46" i="3" s="1"/>
  <c r="I33" i="3"/>
  <c r="J33" i="3" s="1"/>
  <c r="L33" i="3" s="1"/>
  <c r="N33" i="3" s="1"/>
  <c r="K33" i="3"/>
  <c r="M33" i="3"/>
  <c r="O33" i="3" s="1"/>
  <c r="I32" i="3"/>
  <c r="J32" i="3" s="1"/>
  <c r="L32" i="3" s="1"/>
  <c r="N32" i="3" s="1"/>
  <c r="K32" i="3"/>
  <c r="M32" i="3"/>
  <c r="O32" i="3" s="1"/>
  <c r="I31" i="3"/>
  <c r="J31" i="3" s="1"/>
  <c r="K31" i="3"/>
  <c r="M31" i="3"/>
  <c r="O31" i="3" s="1"/>
  <c r="H25" i="7" l="1"/>
  <c r="I25" i="7"/>
  <c r="J25" i="7"/>
  <c r="N25" i="7"/>
  <c r="H18" i="7"/>
  <c r="I18" i="7"/>
  <c r="J18" i="7"/>
  <c r="N18" i="7"/>
  <c r="L31" i="3"/>
  <c r="N31" i="3" s="1"/>
  <c r="K25" i="7" l="1"/>
  <c r="M25" i="7" s="1"/>
  <c r="K18" i="7"/>
  <c r="M18" i="7" s="1"/>
  <c r="G31" i="9"/>
  <c r="I37" i="3"/>
  <c r="J37" i="3" s="1"/>
  <c r="L37" i="3" s="1"/>
  <c r="N37" i="3" s="1"/>
  <c r="K37" i="3"/>
  <c r="M37" i="3"/>
  <c r="O37" i="3" s="1"/>
  <c r="F26" i="7" l="1"/>
  <c r="I19" i="3" l="1"/>
  <c r="I20" i="3"/>
  <c r="I21" i="3"/>
  <c r="E21" i="2" l="1"/>
  <c r="G21" i="2" s="1"/>
  <c r="E78" i="8"/>
  <c r="E24" i="2" s="1"/>
  <c r="G24" i="2" l="1"/>
  <c r="F24" i="2"/>
  <c r="F21" i="2"/>
  <c r="N48" i="7"/>
  <c r="N47" i="7"/>
  <c r="J48" i="7"/>
  <c r="H48" i="7"/>
  <c r="J47" i="7"/>
  <c r="H47" i="7"/>
  <c r="D48" i="7"/>
  <c r="I48" i="7" s="1"/>
  <c r="D47" i="7"/>
  <c r="I47" i="7" s="1"/>
  <c r="D46" i="7"/>
  <c r="I46" i="7" s="1"/>
  <c r="N41" i="7"/>
  <c r="N40" i="7"/>
  <c r="K47" i="7" l="1"/>
  <c r="M47" i="7" s="1"/>
  <c r="K48" i="7"/>
  <c r="M48" i="7" s="1"/>
  <c r="H32" i="7" l="1"/>
  <c r="F63" i="8"/>
  <c r="F62" i="8"/>
  <c r="F61" i="8"/>
  <c r="F60" i="8"/>
  <c r="F38" i="8"/>
  <c r="E31" i="8"/>
  <c r="D31" i="8"/>
  <c r="C31" i="8"/>
  <c r="F39" i="8" l="1"/>
  <c r="F40" i="8" s="1"/>
  <c r="E37" i="2" s="1"/>
  <c r="G37" i="2" l="1"/>
  <c r="F37" i="2"/>
  <c r="B58" i="2"/>
  <c r="F69" i="8" l="1"/>
  <c r="E64" i="8"/>
  <c r="D64" i="8"/>
  <c r="C64" i="8"/>
  <c r="F53" i="8"/>
  <c r="F54" i="8" l="1"/>
  <c r="F55" i="8" s="1"/>
  <c r="E35" i="2" s="1"/>
  <c r="G35" i="2" l="1"/>
  <c r="F35" i="2"/>
  <c r="F59" i="8"/>
  <c r="F58" i="8"/>
  <c r="F57" i="8"/>
  <c r="F64" i="8" l="1"/>
  <c r="F70" i="8" s="1"/>
  <c r="F71" i="8" l="1"/>
  <c r="F72" i="8" s="1"/>
  <c r="E38" i="2" s="1"/>
  <c r="F73" i="8"/>
  <c r="F74" i="8" s="1"/>
  <c r="F75" i="8" s="1"/>
  <c r="N49" i="7"/>
  <c r="J49" i="7"/>
  <c r="H49" i="7"/>
  <c r="J41" i="7"/>
  <c r="H41" i="7"/>
  <c r="D49" i="7"/>
  <c r="I49" i="7" s="1"/>
  <c r="I50" i="7" s="1"/>
  <c r="I41" i="7"/>
  <c r="E33" i="7"/>
  <c r="E55" i="7"/>
  <c r="D55" i="7"/>
  <c r="C55" i="7"/>
  <c r="E54" i="7"/>
  <c r="D54" i="7"/>
  <c r="C54" i="7"/>
  <c r="F21" i="7"/>
  <c r="J19" i="3"/>
  <c r="K19" i="3"/>
  <c r="M19" i="3"/>
  <c r="O19" i="3" s="1"/>
  <c r="J20" i="3"/>
  <c r="K20" i="3"/>
  <c r="M20" i="3"/>
  <c r="O20" i="3" s="1"/>
  <c r="J21" i="3"/>
  <c r="K21" i="3"/>
  <c r="M21" i="3"/>
  <c r="O21" i="3" s="1"/>
  <c r="I22" i="3"/>
  <c r="J22" i="3" s="1"/>
  <c r="K22" i="3"/>
  <c r="M22" i="3"/>
  <c r="O22" i="3" s="1"/>
  <c r="I23" i="3"/>
  <c r="J23" i="3" s="1"/>
  <c r="K23" i="3"/>
  <c r="M23" i="3"/>
  <c r="O23" i="3" s="1"/>
  <c r="I24" i="3"/>
  <c r="J24" i="3" s="1"/>
  <c r="K24" i="3"/>
  <c r="M24" i="3"/>
  <c r="O24" i="3" s="1"/>
  <c r="I25" i="3"/>
  <c r="J25" i="3" s="1"/>
  <c r="K25" i="3"/>
  <c r="M25" i="3"/>
  <c r="O25" i="3" s="1"/>
  <c r="I26" i="3"/>
  <c r="J26" i="3" s="1"/>
  <c r="K26" i="3"/>
  <c r="M26" i="3"/>
  <c r="O26" i="3" s="1"/>
  <c r="I27" i="3"/>
  <c r="J27" i="3" s="1"/>
  <c r="K27" i="3"/>
  <c r="M27" i="3"/>
  <c r="O27" i="3" s="1"/>
  <c r="I28" i="3"/>
  <c r="J28" i="3" s="1"/>
  <c r="K28" i="3"/>
  <c r="M28" i="3"/>
  <c r="O28" i="3" s="1"/>
  <c r="I29" i="3"/>
  <c r="J29" i="3" s="1"/>
  <c r="K29" i="3"/>
  <c r="M29" i="3"/>
  <c r="O29" i="3" s="1"/>
  <c r="I30" i="3"/>
  <c r="J30" i="3" s="1"/>
  <c r="K30" i="3"/>
  <c r="M30" i="3"/>
  <c r="O30" i="3" s="1"/>
  <c r="I34" i="3"/>
  <c r="J34" i="3" s="1"/>
  <c r="K34" i="3"/>
  <c r="M34" i="3"/>
  <c r="O34" i="3" s="1"/>
  <c r="I35" i="3"/>
  <c r="J35" i="3" s="1"/>
  <c r="L35" i="3" s="1"/>
  <c r="N35" i="3" s="1"/>
  <c r="K35" i="3"/>
  <c r="M35" i="3"/>
  <c r="O35" i="3" s="1"/>
  <c r="F23" i="7"/>
  <c r="F22" i="7"/>
  <c r="F20" i="7"/>
  <c r="F19" i="7"/>
  <c r="F17" i="7"/>
  <c r="F16" i="7"/>
  <c r="F15" i="7"/>
  <c r="F14" i="7"/>
  <c r="F13" i="7"/>
  <c r="L28" i="3" l="1"/>
  <c r="N28" i="3" s="1"/>
  <c r="L23" i="3"/>
  <c r="N23" i="3" s="1"/>
  <c r="G38" i="2"/>
  <c r="G36" i="2" s="1"/>
  <c r="F38" i="2"/>
  <c r="F36" i="2" s="1"/>
  <c r="E36" i="2"/>
  <c r="L29" i="3"/>
  <c r="N29" i="3" s="1"/>
  <c r="L22" i="3"/>
  <c r="N22" i="3" s="1"/>
  <c r="L19" i="3"/>
  <c r="N19" i="3" s="1"/>
  <c r="L26" i="3"/>
  <c r="N26" i="3" s="1"/>
  <c r="L24" i="3"/>
  <c r="N24" i="3" s="1"/>
  <c r="L20" i="3"/>
  <c r="N20" i="3" s="1"/>
  <c r="L27" i="3"/>
  <c r="N27" i="3" s="1"/>
  <c r="L25" i="3"/>
  <c r="N25" i="3" s="1"/>
  <c r="L21" i="3"/>
  <c r="N21" i="3" s="1"/>
  <c r="K41" i="7"/>
  <c r="M41" i="7" s="1"/>
  <c r="K49" i="7"/>
  <c r="M49" i="7" s="1"/>
  <c r="N33" i="7"/>
  <c r="I33" i="7"/>
  <c r="J33" i="7"/>
  <c r="F33" i="7"/>
  <c r="H33" i="7" s="1"/>
  <c r="F29" i="7"/>
  <c r="F24" i="7"/>
  <c r="F27" i="7"/>
  <c r="L34" i="3"/>
  <c r="N34" i="3" s="1"/>
  <c r="L30" i="3"/>
  <c r="N30" i="3" s="1"/>
  <c r="K33" i="7" l="1"/>
  <c r="M33" i="7" s="1"/>
  <c r="F8" i="7" l="1"/>
  <c r="E8" i="7"/>
  <c r="J7" i="7"/>
  <c r="I7" i="7"/>
  <c r="H7" i="7"/>
  <c r="J6" i="7"/>
  <c r="I6" i="7"/>
  <c r="H6" i="7"/>
  <c r="J5" i="7"/>
  <c r="E26" i="14"/>
  <c r="E25" i="14"/>
  <c r="E24" i="14"/>
  <c r="E23" i="14"/>
  <c r="I36" i="3"/>
  <c r="J36" i="3" s="1"/>
  <c r="K36" i="3"/>
  <c r="M36" i="3"/>
  <c r="O36" i="3" s="1"/>
  <c r="I38" i="3"/>
  <c r="J38" i="3" s="1"/>
  <c r="K38" i="3"/>
  <c r="M38" i="3"/>
  <c r="O38" i="3" s="1"/>
  <c r="I39" i="3"/>
  <c r="J39" i="3" s="1"/>
  <c r="K39" i="3"/>
  <c r="M39" i="3"/>
  <c r="O39" i="3" s="1"/>
  <c r="I40" i="3"/>
  <c r="J40" i="3" s="1"/>
  <c r="K40" i="3"/>
  <c r="M40" i="3"/>
  <c r="O40" i="3" s="1"/>
  <c r="I41" i="3"/>
  <c r="J41" i="3" s="1"/>
  <c r="K41" i="3"/>
  <c r="M41" i="3"/>
  <c r="O41" i="3" s="1"/>
  <c r="I42" i="3"/>
  <c r="J42" i="3" s="1"/>
  <c r="K42" i="3"/>
  <c r="M42" i="3"/>
  <c r="O42" i="3" s="1"/>
  <c r="I43" i="3"/>
  <c r="J43" i="3" s="1"/>
  <c r="K43" i="3"/>
  <c r="M43" i="3"/>
  <c r="O43" i="3" s="1"/>
  <c r="I44" i="3"/>
  <c r="J44" i="3" s="1"/>
  <c r="K44" i="3"/>
  <c r="M44" i="3"/>
  <c r="O44" i="3" s="1"/>
  <c r="I45" i="3"/>
  <c r="J45" i="3" s="1"/>
  <c r="K45" i="3"/>
  <c r="M45" i="3"/>
  <c r="O45" i="3" s="1"/>
  <c r="I47" i="3"/>
  <c r="J47" i="3" s="1"/>
  <c r="L47" i="3" s="1"/>
  <c r="N47" i="3" s="1"/>
  <c r="K47" i="3"/>
  <c r="M47" i="3"/>
  <c r="O47" i="3" s="1"/>
  <c r="L36" i="3" l="1"/>
  <c r="N36" i="3" s="1"/>
  <c r="L40" i="3"/>
  <c r="N40" i="3" s="1"/>
  <c r="L41" i="3"/>
  <c r="N41" i="3" s="1"/>
  <c r="L39" i="3"/>
  <c r="N39" i="3" s="1"/>
  <c r="L43" i="3"/>
  <c r="N43" i="3" s="1"/>
  <c r="L45" i="3"/>
  <c r="N45" i="3" s="1"/>
  <c r="L42" i="3"/>
  <c r="N42" i="3" s="1"/>
  <c r="L38" i="3"/>
  <c r="N38" i="3" s="1"/>
  <c r="L44" i="3"/>
  <c r="N44" i="3" s="1"/>
  <c r="K7" i="7"/>
  <c r="M7" i="7" s="1"/>
  <c r="J8" i="7"/>
  <c r="E20" i="2" s="1"/>
  <c r="K6" i="7"/>
  <c r="M6" i="7" s="1"/>
  <c r="G66" i="7" l="1"/>
  <c r="E23" i="8"/>
  <c r="D23" i="8"/>
  <c r="C23" i="8"/>
  <c r="E14" i="8"/>
  <c r="D14" i="8"/>
  <c r="C14" i="8"/>
  <c r="E12" i="8" l="1"/>
  <c r="E15" i="8" s="1"/>
  <c r="D12" i="8"/>
  <c r="D15" i="8" s="1"/>
  <c r="C12" i="8"/>
  <c r="F30" i="8" l="1"/>
  <c r="F28" i="8"/>
  <c r="F27" i="8"/>
  <c r="F20" i="8"/>
  <c r="C15" i="8"/>
  <c r="F15" i="8" s="1"/>
  <c r="F22" i="8"/>
  <c r="F19" i="8"/>
  <c r="F21" i="8"/>
  <c r="F31" i="8" l="1"/>
  <c r="E34" i="2" s="1"/>
  <c r="F16" i="8"/>
  <c r="E55" i="2" s="1"/>
  <c r="E43" i="2"/>
  <c r="F23" i="8"/>
  <c r="E33" i="2" s="1"/>
  <c r="G33" i="2" l="1"/>
  <c r="F33" i="2"/>
  <c r="E32" i="2"/>
  <c r="E39" i="2" s="1"/>
  <c r="E44" i="2" s="1"/>
  <c r="E45" i="2" s="1"/>
  <c r="G43" i="2"/>
  <c r="F43" i="2"/>
  <c r="F34" i="2"/>
  <c r="G34" i="2"/>
  <c r="F32" i="8"/>
  <c r="F24" i="8"/>
  <c r="F12" i="7"/>
  <c r="G43" i="9"/>
  <c r="G42" i="9"/>
  <c r="G41" i="9"/>
  <c r="G40" i="9"/>
  <c r="G39" i="9"/>
  <c r="G35" i="9"/>
  <c r="G34" i="9"/>
  <c r="G33" i="9"/>
  <c r="G32" i="9"/>
  <c r="G30" i="9"/>
  <c r="G29" i="9"/>
  <c r="G28" i="9"/>
  <c r="G27" i="9"/>
  <c r="G26" i="9"/>
  <c r="G25" i="9"/>
  <c r="G21" i="9"/>
  <c r="G20" i="9"/>
  <c r="G19" i="9"/>
  <c r="G18" i="9"/>
  <c r="G17" i="9"/>
  <c r="G16" i="9"/>
  <c r="G15" i="9"/>
  <c r="G14" i="9"/>
  <c r="G13" i="9"/>
  <c r="G12" i="9"/>
  <c r="G11" i="9"/>
  <c r="G10" i="9"/>
  <c r="G6" i="9"/>
  <c r="G5" i="9"/>
  <c r="G4" i="9"/>
  <c r="D38" i="7"/>
  <c r="I38" i="7" s="1"/>
  <c r="E58" i="7"/>
  <c r="D58" i="7"/>
  <c r="C58" i="7"/>
  <c r="E57" i="7"/>
  <c r="D57" i="7"/>
  <c r="C57" i="7"/>
  <c r="G56" i="7"/>
  <c r="G55" i="7"/>
  <c r="G54" i="7"/>
  <c r="M18" i="3"/>
  <c r="O18" i="3" s="1"/>
  <c r="I18" i="3"/>
  <c r="J18" i="3" s="1"/>
  <c r="K18" i="3"/>
  <c r="E22" i="14"/>
  <c r="E21" i="14"/>
  <c r="E20" i="14"/>
  <c r="E19" i="14"/>
  <c r="M7" i="3"/>
  <c r="O7" i="3" s="1"/>
  <c r="J32" i="7" s="1"/>
  <c r="M8" i="3"/>
  <c r="O8" i="3" s="1"/>
  <c r="M9" i="3"/>
  <c r="O9" i="3" s="1"/>
  <c r="M10" i="3"/>
  <c r="O10" i="3" s="1"/>
  <c r="M11" i="3"/>
  <c r="O11" i="3" s="1"/>
  <c r="J28" i="7" s="1"/>
  <c r="M12" i="3"/>
  <c r="O12" i="3" s="1"/>
  <c r="M13" i="3"/>
  <c r="O13" i="3" s="1"/>
  <c r="M14" i="3"/>
  <c r="O14" i="3" s="1"/>
  <c r="P7" i="3"/>
  <c r="I32" i="7" s="1"/>
  <c r="P8" i="3"/>
  <c r="P9" i="3"/>
  <c r="P10" i="3"/>
  <c r="P11" i="3"/>
  <c r="I28" i="7" s="1"/>
  <c r="P12" i="3"/>
  <c r="P13" i="3"/>
  <c r="P14" i="3"/>
  <c r="J40" i="7"/>
  <c r="I40" i="7"/>
  <c r="D39" i="7"/>
  <c r="I39" i="7" s="1"/>
  <c r="G57" i="7"/>
  <c r="G58" i="7"/>
  <c r="B57" i="2"/>
  <c r="G55" i="2"/>
  <c r="E11" i="14"/>
  <c r="B13" i="14" s="1"/>
  <c r="I5" i="7" s="1"/>
  <c r="D11" i="14"/>
  <c r="O55" i="3"/>
  <c r="O54" i="3"/>
  <c r="O53" i="3"/>
  <c r="J39" i="7" s="1"/>
  <c r="O52" i="3"/>
  <c r="J46" i="7" s="1"/>
  <c r="O51" i="3"/>
  <c r="N55" i="3"/>
  <c r="J54" i="3"/>
  <c r="L54" i="3"/>
  <c r="N54" i="3"/>
  <c r="J53" i="3"/>
  <c r="L53" i="3" s="1"/>
  <c r="N53" i="3" s="1"/>
  <c r="N39" i="7" s="1"/>
  <c r="J52" i="3"/>
  <c r="L52" i="3" s="1"/>
  <c r="N52" i="3" s="1"/>
  <c r="N46" i="7" s="1"/>
  <c r="N50" i="7" s="1"/>
  <c r="J51" i="3"/>
  <c r="L51" i="3" s="1"/>
  <c r="N51" i="3" s="1"/>
  <c r="L55" i="3"/>
  <c r="I14" i="3"/>
  <c r="J14" i="3" s="1"/>
  <c r="I13" i="3"/>
  <c r="J13" i="3" s="1"/>
  <c r="I12" i="3"/>
  <c r="J12" i="3" s="1"/>
  <c r="I11" i="3"/>
  <c r="J11" i="3" s="1"/>
  <c r="I10" i="3"/>
  <c r="J10" i="3" s="1"/>
  <c r="I9" i="3"/>
  <c r="J9" i="3" s="1"/>
  <c r="I8" i="3"/>
  <c r="J8" i="3" s="1"/>
  <c r="I7" i="3"/>
  <c r="J7" i="3" s="1"/>
  <c r="J55" i="3"/>
  <c r="K14" i="3"/>
  <c r="K13" i="3"/>
  <c r="K12" i="3"/>
  <c r="K11" i="3"/>
  <c r="K10" i="3"/>
  <c r="K9" i="3"/>
  <c r="K8" i="3"/>
  <c r="K7" i="3"/>
  <c r="D27"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H40" i="7" s="1"/>
  <c r="E6" i="11"/>
  <c r="H46" i="7" s="1"/>
  <c r="H50" i="7" s="1"/>
  <c r="G64" i="7" s="1"/>
  <c r="E5" i="11"/>
  <c r="E4" i="11"/>
  <c r="C24" i="11"/>
  <c r="I16" i="7"/>
  <c r="I26" i="7" l="1"/>
  <c r="J26" i="7"/>
  <c r="H39" i="7"/>
  <c r="K39" i="7" s="1"/>
  <c r="M39" i="7" s="1"/>
  <c r="E15" i="2"/>
  <c r="F15" i="2" s="1"/>
  <c r="G7" i="9"/>
  <c r="E8" i="2" s="1"/>
  <c r="F8" i="2" s="1"/>
  <c r="H21" i="7"/>
  <c r="H38" i="7"/>
  <c r="H27" i="7"/>
  <c r="H29" i="7"/>
  <c r="H26" i="7"/>
  <c r="H31" i="7"/>
  <c r="H30" i="7"/>
  <c r="H24" i="7"/>
  <c r="H28" i="7"/>
  <c r="K28" i="7" s="1"/>
  <c r="M28" i="7" s="1"/>
  <c r="H5" i="7"/>
  <c r="H8" i="7" s="1"/>
  <c r="H20" i="7"/>
  <c r="G45" i="2"/>
  <c r="F45" i="2"/>
  <c r="G44" i="2"/>
  <c r="F44" i="2"/>
  <c r="F32" i="2"/>
  <c r="F39" i="2" s="1"/>
  <c r="G32" i="2"/>
  <c r="G39" i="2" s="1"/>
  <c r="I31" i="7"/>
  <c r="I24" i="7"/>
  <c r="I30" i="7"/>
  <c r="I27" i="7"/>
  <c r="I29" i="7"/>
  <c r="K46" i="7"/>
  <c r="M46" i="7" s="1"/>
  <c r="M50" i="7" s="1"/>
  <c r="J50" i="7"/>
  <c r="K32" i="7"/>
  <c r="M32" i="7" s="1"/>
  <c r="J29" i="7"/>
  <c r="J27" i="7"/>
  <c r="J31" i="7"/>
  <c r="J30" i="7"/>
  <c r="J24" i="7"/>
  <c r="J19" i="7"/>
  <c r="J22" i="7"/>
  <c r="I44" i="7"/>
  <c r="I8" i="7"/>
  <c r="E19" i="2" s="1"/>
  <c r="F19" i="2" s="1"/>
  <c r="I17" i="7"/>
  <c r="I20" i="7"/>
  <c r="J20" i="7"/>
  <c r="I21" i="7"/>
  <c r="J21" i="7"/>
  <c r="L10" i="3"/>
  <c r="N10" i="3" s="1"/>
  <c r="L18" i="3"/>
  <c r="N18" i="3" s="1"/>
  <c r="L7" i="3"/>
  <c r="N7" i="3" s="1"/>
  <c r="N32" i="7" s="1"/>
  <c r="L8" i="3"/>
  <c r="N8" i="3" s="1"/>
  <c r="L9" i="3"/>
  <c r="N9" i="3" s="1"/>
  <c r="N14" i="7" s="1"/>
  <c r="L11" i="3"/>
  <c r="N11" i="3" s="1"/>
  <c r="J16" i="7"/>
  <c r="J38" i="7"/>
  <c r="L12" i="3"/>
  <c r="N12" i="3" s="1"/>
  <c r="L13" i="3"/>
  <c r="N13" i="3" s="1"/>
  <c r="L14" i="3"/>
  <c r="N14" i="3" s="1"/>
  <c r="N38" i="7"/>
  <c r="J17" i="7"/>
  <c r="J13" i="7"/>
  <c r="G59" i="7"/>
  <c r="G62" i="7" s="1"/>
  <c r="H17" i="7"/>
  <c r="H12" i="7"/>
  <c r="H15" i="7"/>
  <c r="H16" i="7"/>
  <c r="G36" i="9"/>
  <c r="E10" i="2" s="1"/>
  <c r="G22" i="9"/>
  <c r="E9" i="2" s="1"/>
  <c r="F9" i="2" s="1"/>
  <c r="G44" i="9"/>
  <c r="E11" i="2" s="1"/>
  <c r="F11" i="2" s="1"/>
  <c r="I19" i="7"/>
  <c r="I22" i="7"/>
  <c r="H22" i="7"/>
  <c r="K40" i="7"/>
  <c r="M40" i="7" s="1"/>
  <c r="E27" i="14"/>
  <c r="E28" i="2" s="1"/>
  <c r="I12" i="7"/>
  <c r="I23" i="7"/>
  <c r="J23" i="7"/>
  <c r="H19" i="7"/>
  <c r="H23" i="7"/>
  <c r="J12" i="7"/>
  <c r="J15" i="7"/>
  <c r="I15" i="7"/>
  <c r="H14" i="7"/>
  <c r="J14" i="7"/>
  <c r="I14" i="7"/>
  <c r="H13" i="7"/>
  <c r="I13" i="7"/>
  <c r="B59" i="2"/>
  <c r="B60" i="2"/>
  <c r="C55" i="2"/>
  <c r="F55" i="2"/>
  <c r="B56" i="2"/>
  <c r="D55" i="2"/>
  <c r="G65" i="7" l="1"/>
  <c r="K26" i="7"/>
  <c r="M26" i="7" s="1"/>
  <c r="N19" i="7"/>
  <c r="N26" i="7"/>
  <c r="H44" i="7"/>
  <c r="G15" i="2"/>
  <c r="F28" i="2"/>
  <c r="F27" i="2" s="1"/>
  <c r="G28" i="2"/>
  <c r="G27" i="2" s="1"/>
  <c r="G8" i="2"/>
  <c r="K5" i="7"/>
  <c r="M5" i="7" s="1"/>
  <c r="M8" i="7" s="1"/>
  <c r="K24" i="7"/>
  <c r="M24" i="7" s="1"/>
  <c r="K30" i="7"/>
  <c r="M30" i="7" s="1"/>
  <c r="K31" i="7"/>
  <c r="M31" i="7" s="1"/>
  <c r="K29" i="7"/>
  <c r="M29" i="7" s="1"/>
  <c r="K27" i="7"/>
  <c r="M27" i="7" s="1"/>
  <c r="N21" i="7"/>
  <c r="N27" i="7"/>
  <c r="N29" i="7"/>
  <c r="N20" i="7"/>
  <c r="N22" i="7"/>
  <c r="N23" i="7"/>
  <c r="N28" i="7"/>
  <c r="N24" i="7"/>
  <c r="N30" i="7"/>
  <c r="N31" i="7"/>
  <c r="F10" i="2"/>
  <c r="G10" i="2"/>
  <c r="J44" i="7"/>
  <c r="N44" i="7"/>
  <c r="G11" i="2"/>
  <c r="G9" i="2"/>
  <c r="E12" i="2"/>
  <c r="F12" i="2" s="1"/>
  <c r="I34" i="7"/>
  <c r="H34" i="7"/>
  <c r="J34" i="7"/>
  <c r="K20" i="7"/>
  <c r="M20" i="7" s="1"/>
  <c r="K21" i="7"/>
  <c r="M21" i="7" s="1"/>
  <c r="N16" i="7"/>
  <c r="K38" i="7"/>
  <c r="M38" i="7" s="1"/>
  <c r="N13" i="7"/>
  <c r="N12" i="7"/>
  <c r="K16" i="7"/>
  <c r="M16" i="7" s="1"/>
  <c r="N15" i="7"/>
  <c r="N17" i="7"/>
  <c r="K17" i="7"/>
  <c r="M17" i="7" s="1"/>
  <c r="K22" i="7"/>
  <c r="M22" i="7" s="1"/>
  <c r="K19" i="7"/>
  <c r="M19" i="7" s="1"/>
  <c r="K15" i="7"/>
  <c r="M15" i="7" s="1"/>
  <c r="K23" i="7"/>
  <c r="M23" i="7" s="1"/>
  <c r="E27" i="2"/>
  <c r="E48" i="2" s="1"/>
  <c r="K12" i="7"/>
  <c r="M12" i="7" s="1"/>
  <c r="K14" i="7"/>
  <c r="M14" i="7" s="1"/>
  <c r="K13" i="7"/>
  <c r="M13" i="7" s="1"/>
  <c r="G63" i="7" l="1"/>
  <c r="G68" i="7"/>
  <c r="E18" i="2" s="1"/>
  <c r="G67" i="7"/>
  <c r="E17" i="2" s="1"/>
  <c r="F17" i="2" s="1"/>
  <c r="G70" i="7"/>
  <c r="E26" i="2" s="1"/>
  <c r="G26" i="2" s="1"/>
  <c r="F48" i="2"/>
  <c r="G48" i="2"/>
  <c r="F7" i="2"/>
  <c r="M44" i="7"/>
  <c r="G12" i="2"/>
  <c r="G7" i="2" s="1"/>
  <c r="E7" i="2"/>
  <c r="N34" i="7"/>
  <c r="M34" i="7"/>
  <c r="E14" i="2" l="1"/>
  <c r="E13" i="2" s="1"/>
  <c r="F26" i="2"/>
  <c r="G69" i="7"/>
  <c r="G71" i="7" s="1"/>
  <c r="E25" i="2"/>
  <c r="G17" i="2"/>
  <c r="G19" i="2"/>
  <c r="F14" i="2" l="1"/>
  <c r="F13" i="2" s="1"/>
  <c r="G14" i="2"/>
  <c r="G13" i="2" s="1"/>
  <c r="F18" i="2"/>
  <c r="G18" i="2"/>
  <c r="F20" i="2"/>
  <c r="G20" i="2"/>
  <c r="E22" i="2"/>
  <c r="F22" i="2" s="1"/>
  <c r="F25" i="2"/>
  <c r="F23" i="2" s="1"/>
  <c r="E23" i="2"/>
  <c r="E50" i="2" s="1"/>
  <c r="G25" i="2"/>
  <c r="G23" i="2" s="1"/>
  <c r="F16" i="2" l="1"/>
  <c r="G22" i="2"/>
  <c r="G16" i="2" s="1"/>
  <c r="G29" i="2" s="1"/>
  <c r="E16" i="2"/>
  <c r="E46" i="2" s="1"/>
  <c r="G50" i="2"/>
  <c r="F50" i="2"/>
  <c r="E29" i="2" l="1"/>
  <c r="F29" i="2" s="1"/>
  <c r="F46" i="2"/>
  <c r="G46" i="2"/>
  <c r="E47" i="2"/>
  <c r="F56" i="2" l="1"/>
  <c r="G60" i="2"/>
  <c r="D56" i="2"/>
  <c r="E57" i="2"/>
  <c r="D58" i="2"/>
  <c r="G58" i="2"/>
  <c r="C59" i="2"/>
  <c r="E59" i="2"/>
  <c r="G59" i="2"/>
  <c r="F60" i="2"/>
  <c r="D59" i="2"/>
  <c r="E58" i="2"/>
  <c r="C60" i="2"/>
  <c r="F57" i="2"/>
  <c r="C57" i="2"/>
  <c r="D60" i="2"/>
  <c r="E56" i="2"/>
  <c r="D57" i="2"/>
  <c r="G57" i="2"/>
  <c r="C58" i="2"/>
  <c r="E60" i="2"/>
  <c r="F59" i="2"/>
  <c r="C56" i="2"/>
  <c r="G56" i="2"/>
  <c r="F58" i="2"/>
  <c r="F47" i="2"/>
  <c r="G47" i="2"/>
  <c r="E49" i="2"/>
  <c r="F49" i="2" l="1"/>
  <c r="G49" i="2"/>
  <c r="E51" i="2"/>
  <c r="G51" i="2" l="1"/>
  <c r="F51" i="2"/>
</calcChain>
</file>

<file path=xl/sharedStrings.xml><?xml version="1.0" encoding="utf-8"?>
<sst xmlns="http://schemas.openxmlformats.org/spreadsheetml/2006/main" count="699" uniqueCount="455">
  <si>
    <t>Acknowledgments</t>
  </si>
  <si>
    <t>Planted Acres</t>
  </si>
  <si>
    <t>Fertilizers &amp; lime</t>
  </si>
  <si>
    <t>Custom services</t>
  </si>
  <si>
    <t>Interest on operating costs</t>
  </si>
  <si>
    <t>Farm vehicle ownership or lease</t>
  </si>
  <si>
    <t>Sensitivity Analysis for Gross Profit per Acre</t>
  </si>
  <si>
    <t>Budget Description</t>
  </si>
  <si>
    <t>Total</t>
  </si>
  <si>
    <t>Type</t>
  </si>
  <si>
    <t>Application Unit</t>
  </si>
  <si>
    <t>Cost per Application Unit</t>
  </si>
  <si>
    <t>Cost per Planted Acre</t>
  </si>
  <si>
    <t>Fertilizers &amp; Lime</t>
  </si>
  <si>
    <t>Active Ingredients</t>
  </si>
  <si>
    <t>Other Materials</t>
  </si>
  <si>
    <t>90/10 Surfactant</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</si>
  <si>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</si>
  <si>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</si>
  <si>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</si>
  <si>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</si>
  <si>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</si>
  <si>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</si>
  <si>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</si>
  <si>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</si>
  <si>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</si>
  <si>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</si>
  <si>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</si>
  <si>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</si>
  <si>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Tractor, 275-299 hp</t>
  </si>
  <si>
    <t>Disc harrow, 20-27'</t>
  </si>
  <si>
    <t>Tractor, 225-249 hp</t>
  </si>
  <si>
    <t>Spreader, pull-type, medium clearance, 6-ton, 200 cu ft</t>
  </si>
  <si>
    <t>Spray applications</t>
  </si>
  <si>
    <t>Move liquid fertilizer</t>
  </si>
  <si>
    <t>Nurse tank trailer, 1600 gal</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</si>
  <si>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</si>
  <si>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</si>
  <si>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</si>
  <si>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</si>
  <si>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</si>
  <si>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</si>
  <si>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</si>
  <si>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</si>
  <si>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</si>
  <si>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General farm labor</t>
  </si>
  <si>
    <t>Total per Acre, All Events</t>
  </si>
  <si>
    <t>Vehicle Type</t>
  </si>
  <si>
    <t>Fuel Type</t>
  </si>
  <si>
    <t>Miles per Field per Trip</t>
  </si>
  <si>
    <t>Labor Hours per Field per Trip</t>
  </si>
  <si>
    <t>Pickup truck, heavy duty, three-quarter ton</t>
  </si>
  <si>
    <t>Gasoline</t>
  </si>
  <si>
    <t>Pickup truck, regular duty, half-ton</t>
  </si>
  <si>
    <t>CUSTOM SERVICES HIRED</t>
  </si>
  <si>
    <t>Type or Specs</t>
  </si>
  <si>
    <t>Unit</t>
  </si>
  <si>
    <t>Cost per Unit</t>
  </si>
  <si>
    <t>Quantity per Acre</t>
  </si>
  <si>
    <t>Scouting/crop consulting</t>
  </si>
  <si>
    <t>*For number of trips, if only cover part of a field with an operation, enter a number less than 1 (decimal form):  for example, 0.5 for half the field.</t>
  </si>
  <si>
    <t>Crop Name</t>
  </si>
  <si>
    <t>Total Field Acres</t>
  </si>
  <si>
    <t>Prior Crop(s) on This Field</t>
  </si>
  <si>
    <t>Cash Crops per Year</t>
  </si>
  <si>
    <t>Irrigation Type</t>
  </si>
  <si>
    <t>Well Diameter (inches)</t>
  </si>
  <si>
    <t>Well Depth (lift feet)</t>
  </si>
  <si>
    <t>Pump Pressure (psi)</t>
  </si>
  <si>
    <t>Power Type</t>
  </si>
  <si>
    <t>Pump HP</t>
  </si>
  <si>
    <t>Diesel Gal per Acre-Inch</t>
  </si>
  <si>
    <t>kWh per Acre-Inch</t>
  </si>
  <si>
    <t>Electric</t>
  </si>
  <si>
    <t>Variable Power Cost per Acre-Inch</t>
  </si>
  <si>
    <t>Estimated Variable Cost for Irrigation Maintenance &amp; Repair per Acre-Inch</t>
  </si>
  <si>
    <t>Field, Owned or Rented:</t>
  </si>
  <si>
    <t>Cost Per Field</t>
  </si>
  <si>
    <t>Land rental cost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</si>
  <si>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</si>
  <si>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</si>
  <si>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</si>
  <si>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</si>
  <si>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</si>
  <si>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Tax &amp; Insurance</t>
  </si>
  <si>
    <t>Labor Types</t>
  </si>
  <si>
    <t>Hourly Wage</t>
  </si>
  <si>
    <t>Payroll Overhead</t>
  </si>
  <si>
    <t>Cost per Hour</t>
  </si>
  <si>
    <t>Fuel Types</t>
  </si>
  <si>
    <t>Cost ($/gal)</t>
  </si>
  <si>
    <t>Diesel, highway</t>
  </si>
  <si>
    <t>Diesel, off-road</t>
  </si>
  <si>
    <t>Electric Rates</t>
  </si>
  <si>
    <t>Cost</t>
  </si>
  <si>
    <t>Fixed annual electric standby charge ($)</t>
  </si>
  <si>
    <t>Variable electric rate ($/kwh)</t>
  </si>
  <si>
    <t>Interest Rate on Operating Costs</t>
  </si>
  <si>
    <t>Rate</t>
  </si>
  <si>
    <t>Annual interest rate</t>
  </si>
  <si>
    <t>Average number of months</t>
  </si>
  <si>
    <t>Effective rate for season</t>
  </si>
  <si>
    <t>Custom Services</t>
  </si>
  <si>
    <t>acre</t>
  </si>
  <si>
    <t>ton</t>
  </si>
  <si>
    <t>1000 seeds</t>
  </si>
  <si>
    <t>lb</t>
  </si>
  <si>
    <t>quart</t>
  </si>
  <si>
    <t>gal</t>
  </si>
  <si>
    <t>pint</t>
  </si>
  <si>
    <t>fl oz</t>
  </si>
  <si>
    <t>pound</t>
  </si>
  <si>
    <t>Bacillus thuringiensis (Bt)</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</si>
  <si>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</si>
  <si>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</si>
  <si>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</si>
  <si>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</si>
  <si>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</si>
  <si>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</si>
  <si>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</si>
  <si>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</si>
  <si>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</si>
  <si>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</si>
  <si>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</si>
  <si>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</si>
  <si>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</si>
  <si>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</si>
  <si>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</si>
  <si>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</si>
  <si>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</si>
  <si>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</si>
  <si>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Combine, self-propelled</t>
  </si>
  <si>
    <t>Sprayer</t>
  </si>
  <si>
    <t>Tractor, 150-174 hp</t>
  </si>
  <si>
    <t>Tractor, 4WD, large (&gt;150 hp)</t>
  </si>
  <si>
    <t>Tractor, 175-199 hp</t>
  </si>
  <si>
    <t>Tractor, 200-224 hp</t>
  </si>
  <si>
    <t>Tractor, 250-274 hp</t>
  </si>
  <si>
    <t>IMPLEMENTS</t>
  </si>
  <si>
    <t>Coverage Width (feet)</t>
  </si>
  <si>
    <t>Operating Speed (mph)</t>
  </si>
  <si>
    <t>Tax Ins Hsg</t>
  </si>
  <si>
    <t>Picker sheller</t>
  </si>
  <si>
    <t>Roller-packer</t>
  </si>
  <si>
    <t>Disc harrow, 12-19'</t>
  </si>
  <si>
    <t>Disk</t>
  </si>
  <si>
    <t>Spreader</t>
  </si>
  <si>
    <t>Dry fertilizer bander/side-dresser, 3 hopper 1000 lbs with double disc openers</t>
  </si>
  <si>
    <t>Dry fertilizer bander/side-dresser, 4 hopper 1000 lbs with double disc openers</t>
  </si>
  <si>
    <t>Field cultivator, 18-27'</t>
  </si>
  <si>
    <t>Field cultivator</t>
  </si>
  <si>
    <t>Field cultivator, 28-32'</t>
  </si>
  <si>
    <t>Hydraulic dump cart, 750 cu ft</t>
  </si>
  <si>
    <t>Wagon</t>
  </si>
  <si>
    <t xml:space="preserve"> </t>
  </si>
  <si>
    <t>Hydraulic dump cart, 950-1100 cu ft</t>
  </si>
  <si>
    <t>Grain drill</t>
  </si>
  <si>
    <t>Nurse tank trailer, 1000 gal</t>
  </si>
  <si>
    <t>Planter, row crop</t>
  </si>
  <si>
    <t>Plow, moldboard</t>
  </si>
  <si>
    <t>Plow, chisel</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</si>
  <si>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</si>
  <si>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</si>
  <si>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</si>
  <si>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</si>
  <si>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</si>
  <si>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</si>
  <si>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</si>
  <si>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</si>
  <si>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FARM VEHICLES</t>
  </si>
  <si>
    <t>Per Mile</t>
  </si>
  <si>
    <t>Vehicle Description</t>
  </si>
  <si>
    <t>Size/Capacity</t>
  </si>
  <si>
    <t>Horsepower</t>
  </si>
  <si>
    <t>Annual Miles</t>
  </si>
  <si>
    <t>Pickup truck, heavy duty, one-ton</t>
  </si>
  <si>
    <t>one-ton</t>
  </si>
  <si>
    <t>three-quarter 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</si>
  <si>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</si>
  <si>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</si>
  <si>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</si>
  <si>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</si>
  <si>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</si>
  <si>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</si>
  <si>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</si>
  <si>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</si>
  <si>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</si>
  <si>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Combine, pull-type</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</si>
  <si>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</si>
  <si>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</si>
  <si>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</si>
  <si>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</si>
  <si>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</si>
  <si>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</si>
  <si>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</si>
  <si>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</si>
  <si>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</si>
  <si>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</si>
  <si>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</si>
  <si>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</si>
  <si>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</si>
  <si>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</si>
  <si>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</si>
  <si>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</si>
  <si>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</si>
  <si>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</si>
  <si>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</si>
  <si>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</si>
  <si>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2024-2025</t>
  </si>
  <si>
    <t>Cabbage, round green type</t>
  </si>
  <si>
    <t>Northeast Florida</t>
  </si>
  <si>
    <t>summer cover crop</t>
  </si>
  <si>
    <t>seepage</t>
  </si>
  <si>
    <t>HARVESTING, PACKING, &amp; SELLING</t>
  </si>
  <si>
    <t>50-lb box</t>
  </si>
  <si>
    <t>50-lb bag</t>
  </si>
  <si>
    <t>Pack 1</t>
  </si>
  <si>
    <t>Pack 2</t>
  </si>
  <si>
    <t>Pack 3</t>
  </si>
  <si>
    <t>Pack unit</t>
  </si>
  <si>
    <t>Packout percentage (%)</t>
  </si>
  <si>
    <t>Quantity of pack units per acre</t>
  </si>
  <si>
    <t>Average FOB price per pack unit</t>
  </si>
  <si>
    <t>Seeds &amp; Transplants</t>
  </si>
  <si>
    <t>Seeds, cabbage</t>
  </si>
  <si>
    <t>Transplant production</t>
  </si>
  <si>
    <t>hired service</t>
  </si>
  <si>
    <t>1000 plants</t>
  </si>
  <si>
    <t>Bravo or Bronco</t>
  </si>
  <si>
    <t>Pesticides</t>
  </si>
  <si>
    <t>Gypsum</t>
  </si>
  <si>
    <t>Oxyfluorfen</t>
  </si>
  <si>
    <t>Napropamide</t>
  </si>
  <si>
    <t>Chlorothalonil</t>
  </si>
  <si>
    <t>Azoxystrobin</t>
  </si>
  <si>
    <t>Chlorantraniliprole</t>
  </si>
  <si>
    <t>GoalTender herbicide</t>
  </si>
  <si>
    <t>Devrinol herbicide</t>
  </si>
  <si>
    <t>Bravo Weather Stik fungicide</t>
  </si>
  <si>
    <t>AzoxyStar fungicide</t>
  </si>
  <si>
    <t>1 application</t>
  </si>
  <si>
    <t>4 applications</t>
  </si>
  <si>
    <t>Coragen insecticide</t>
  </si>
  <si>
    <t>Dipel DF insecticide</t>
  </si>
  <si>
    <t>Xentari insecticide</t>
  </si>
  <si>
    <t>Pallets and shrink wrap</t>
  </si>
  <si>
    <t>Pack 1 ($/pack)</t>
  </si>
  <si>
    <t>Pack 2 ($/pack)</t>
  </si>
  <si>
    <t>Pack 3 ($/pack)</t>
  </si>
  <si>
    <t>Food safety compliance</t>
  </si>
  <si>
    <t>Packing contract labor</t>
  </si>
  <si>
    <t>Harvesting contract labor</t>
  </si>
  <si>
    <t>Boxes, bags, or other containers</t>
  </si>
  <si>
    <t>Propane</t>
  </si>
  <si>
    <t>weekly</t>
  </si>
  <si>
    <t>OPERATING COST RATES</t>
  </si>
  <si>
    <t>Price from SV Nov/Dec 2024 quotes.</t>
  </si>
  <si>
    <t>Price from Hope/Diamond R.</t>
  </si>
  <si>
    <t>Tractor, 125-149 hp</t>
  </si>
  <si>
    <t>Tractor, 100-124 hp</t>
  </si>
  <si>
    <t>Forklift trucks (4)</t>
  </si>
  <si>
    <t>Less brokerage fees per pack unit</t>
  </si>
  <si>
    <t>FIELD DETAILS</t>
  </si>
  <si>
    <t>This sample budget contains estimates of costs and returns for growing cabbage (round, green type) with seepage irrigation in northeast Florida, Fall 2024 to Spring 2025. Estimates are based on information from input suppliers, equipment manufacturers, price reports, crop specialists, extension agents, and grower interviews. The budget is for a single field on a hypothetical farm that produces cabbage on approximately 1000 acres. The budget is intended to represent common practices, but it does not represent any one farm or a statistical average for the region. Actual costs and returns will vary by grower and field, and statistical measures of costs and returns by crop are not available.</t>
  </si>
  <si>
    <t>Depreciation</t>
  </si>
  <si>
    <t>Interest</t>
  </si>
  <si>
    <t>Property Tax &amp; Insurance</t>
  </si>
  <si>
    <t>MACHINERY LISTS</t>
  </si>
  <si>
    <t>Cover crop seeds</t>
  </si>
  <si>
    <t>Cabbage seeds &amp; transplants</t>
  </si>
  <si>
    <t xml:space="preserve">FIELD &amp; IRRIGATION SYSTEM </t>
  </si>
  <si>
    <t>Interest on land payment</t>
  </si>
  <si>
    <t>Well &amp; pump depreciation &amp; interest</t>
  </si>
  <si>
    <t>ANNUAL FIXED LAND &amp; IRRIGATION SYSTEM COSTS</t>
  </si>
  <si>
    <t>Cost Item</t>
  </si>
  <si>
    <t>Other irrigation equipment depreciation &amp; interest</t>
  </si>
  <si>
    <t>Standard seepage - filling trenches</t>
  </si>
  <si>
    <t>Contract planting labor</t>
  </si>
  <si>
    <t>Soil sampling</t>
  </si>
  <si>
    <t>Single soil test, including postage</t>
  </si>
  <si>
    <t>each</t>
  </si>
  <si>
    <t>Prep cover crop seed bed</t>
  </si>
  <si>
    <t>Broadcast cover crop seed</t>
  </si>
  <si>
    <t>Incorporate cover crop seed</t>
  </si>
  <si>
    <t>Moving water for spray applications</t>
  </si>
  <si>
    <t>Planting prep - bedder</t>
  </si>
  <si>
    <t>Planting prep - harrow</t>
  </si>
  <si>
    <t>Planting prep - fumigate</t>
  </si>
  <si>
    <t>Bed shaper, 4-row</t>
  </si>
  <si>
    <t>Planting prep - bed shaper</t>
  </si>
  <si>
    <t>Spread lime, gypsum, dry fertilizer</t>
  </si>
  <si>
    <t>Plant - transplanter</t>
  </si>
  <si>
    <t>Plant - watering cart</t>
  </si>
  <si>
    <t>Planting</t>
  </si>
  <si>
    <t>Driving related to field operations</t>
  </si>
  <si>
    <t>Applying liquid fertilizer</t>
  </si>
  <si>
    <t>Move water for fertilizer application</t>
  </si>
  <si>
    <t>MACHINERY OPERATIONS</t>
  </si>
  <si>
    <t>FARM VEHICLE &amp; OTHER LABOR OPERATIONS</t>
  </si>
  <si>
    <t>Lime</t>
  </si>
  <si>
    <t>Urea ammonium nitrate (UAN)</t>
  </si>
  <si>
    <t>liquid 32-0-0</t>
  </si>
  <si>
    <t>Fertilizer blend</t>
  </si>
  <si>
    <t>dry 3-7-28</t>
  </si>
  <si>
    <t>dolomite</t>
  </si>
  <si>
    <t>smokestack</t>
  </si>
  <si>
    <t>nonionic</t>
  </si>
  <si>
    <t>Harvest Yield</t>
  </si>
  <si>
    <t>Pounds per pack unit</t>
  </si>
  <si>
    <t>Average revenue per pound harvested</t>
  </si>
  <si>
    <t>Variable Production Overhead</t>
  </si>
  <si>
    <t>Other preharvest materials</t>
  </si>
  <si>
    <t>Packing materials</t>
  </si>
  <si>
    <t>Fixed Production Overhead</t>
  </si>
  <si>
    <t>Field contribution margin</t>
  </si>
  <si>
    <t>Farm machinery ownership or lease</t>
  </si>
  <si>
    <t>Crop insurance</t>
  </si>
  <si>
    <t>REVENUE &amp; PROFIT</t>
  </si>
  <si>
    <t>Farm manager</t>
  </si>
  <si>
    <t>FIELD MATERIALS</t>
  </si>
  <si>
    <t>Per Acre</t>
  </si>
  <si>
    <t>Per Pound</t>
  </si>
  <si>
    <t>Per Field</t>
  </si>
  <si>
    <t>Revenue, Cost, or Profit Metric</t>
  </si>
  <si>
    <t>Gross return to field</t>
  </si>
  <si>
    <t>Harvesting and packing costs</t>
  </si>
  <si>
    <t>Gross profit (return to general administration &amp; profit)</t>
  </si>
  <si>
    <t>Yield (lbs/acre)</t>
  </si>
  <si>
    <t>Land</t>
  </si>
  <si>
    <t>Field parcel &amp; irrigation system</t>
  </si>
  <si>
    <t>Contribution margin, not including land costs</t>
  </si>
  <si>
    <t>Land costs</t>
  </si>
  <si>
    <t>Electricity for packing &amp; cold storage</t>
  </si>
  <si>
    <t>Propane fuel for forklifts</t>
  </si>
  <si>
    <t>Packing facility repair &amp; maintenance</t>
  </si>
  <si>
    <t>Forklift repair &amp; maintenance</t>
  </si>
  <si>
    <t>Gross farm revenue from crop sales ($/acre)</t>
  </si>
  <si>
    <t>Packing facility, including cold storage units</t>
  </si>
  <si>
    <t>Fixed Assets</t>
  </si>
  <si>
    <t>Other Fixed Overhead Items</t>
  </si>
  <si>
    <t>standard</t>
  </si>
  <si>
    <t>Weighted average price (gross farm revenue per pound harvested)</t>
  </si>
  <si>
    <t>Total packing material costs</t>
  </si>
  <si>
    <t>Variety</t>
  </si>
  <si>
    <t>Field Info</t>
  </si>
  <si>
    <t>Year/Season</t>
  </si>
  <si>
    <t>Packing material cost per pound harvested</t>
  </si>
  <si>
    <t>Total variable harvesting &amp; packing labor costs</t>
  </si>
  <si>
    <t>Variable harvesting &amp; packing labor cost per pound harvested</t>
  </si>
  <si>
    <t>Farm manager salary + benefits, harvesting &amp; packing portion</t>
  </si>
  <si>
    <t>Variable Overhead Items</t>
  </si>
  <si>
    <t>Total fixed harvesting &amp; packing labor costs</t>
  </si>
  <si>
    <t>Fixed harvesting &amp; packing labor cost per pound harvested</t>
  </si>
  <si>
    <t>Fixed harvesting &amp; packing labor cost per crop acre</t>
  </si>
  <si>
    <t>Total variable overhead costs</t>
  </si>
  <si>
    <t>Variable overhead cost per pound harvested</t>
  </si>
  <si>
    <t>Total fixed asset costs</t>
  </si>
  <si>
    <t>Total other fixed overhead costs</t>
  </si>
  <si>
    <t>Annual total overhead cost per pound harvested</t>
  </si>
  <si>
    <t>Annual total overhead cost per crop acre</t>
  </si>
  <si>
    <t>Annual total packing &amp; marketing overhead cost</t>
  </si>
  <si>
    <t>HARVESTING &amp; PACKING OVERHEAD - WHOLE FARM</t>
  </si>
  <si>
    <t>Harvesting conveyor (7)</t>
  </si>
  <si>
    <t>Conveyor wagons (20)</t>
  </si>
  <si>
    <t>Truck fuel for hauling wagons</t>
  </si>
  <si>
    <t>Trucks for hauling wagons (cost per mile)</t>
  </si>
  <si>
    <t>Truck repair &amp; maintenance</t>
  </si>
  <si>
    <t>Wagon and conveyor repair &amp; maintenance</t>
  </si>
  <si>
    <t>Tractor support for harvesting</t>
  </si>
  <si>
    <t>Machinery Operation</t>
  </si>
  <si>
    <t>Total per Acre, All Trips</t>
  </si>
  <si>
    <t>Service Description</t>
  </si>
  <si>
    <t>PREHARVEST FIELD OPERATIONS</t>
  </si>
  <si>
    <t>PREHARVEST PRODUCTION COSTS</t>
  </si>
  <si>
    <t>Field Materials &amp; Services</t>
  </si>
  <si>
    <t>Gross farm revenue from crop sales</t>
  </si>
  <si>
    <t>HARVESTING AND PACKING COSTS</t>
  </si>
  <si>
    <t>Variable Costs</t>
  </si>
  <si>
    <t>Variable harvesting &amp; packing labor</t>
  </si>
  <si>
    <t>Variable harvesting &amp; packing overhead</t>
  </si>
  <si>
    <t>Fixed Costs</t>
  </si>
  <si>
    <t>Fixed harvesting &amp; packing overhead</t>
  </si>
  <si>
    <t>Total Harvesting and Packing Costs</t>
  </si>
  <si>
    <t>Variable preharvest labor</t>
  </si>
  <si>
    <t>Production Labor &amp; Management</t>
  </si>
  <si>
    <t>Irrigation repairs</t>
  </si>
  <si>
    <t>Machinery &amp; vehicle repairs</t>
  </si>
  <si>
    <t>Fixed production labor &amp; management</t>
  </si>
  <si>
    <t>Fixed preharvest labor &amp; management</t>
  </si>
  <si>
    <t>Fixed labor &amp; management for harvesting &amp; packing</t>
  </si>
  <si>
    <t>Operations with Variable Labor Cost</t>
  </si>
  <si>
    <t>Operations with Fixed Labor Cost</t>
  </si>
  <si>
    <t>Variable overhead cost per acre</t>
  </si>
  <si>
    <t>Total fixed overhead cost per acre</t>
  </si>
  <si>
    <t>Risk Management</t>
  </si>
  <si>
    <t>Whole Farm</t>
  </si>
  <si>
    <t>Cost Per Acre</t>
  </si>
  <si>
    <t>Variable Harvesting &amp; Packing Labor Costs</t>
  </si>
  <si>
    <t>Cost per Acre</t>
  </si>
  <si>
    <t>Whole-Farm Annual Cost</t>
  </si>
  <si>
    <t>APH</t>
  </si>
  <si>
    <t>Whole-farm vegetable acres harvested</t>
  </si>
  <si>
    <t>Whole-farm annual  total pounds of vegetables harvested</t>
  </si>
  <si>
    <t>Total fixed overhead cost per pound harvested</t>
  </si>
  <si>
    <t>Total fixed overhead costs</t>
  </si>
  <si>
    <t>Variable costs, not including land</t>
  </si>
  <si>
    <t>This sample budget was created by Kevin Athearn, Hope Nelson, Prissy Fletcher, Lincoln Zotarelli, and Amanda Phillips with UF/IFAS Extension. We would like to thank the USDA Risk Management Agency for funding this budget work, the cabbage producers who provided key information, as well as the ag input suppliers and equipment manufacturers who provided cost quotes.</t>
  </si>
  <si>
    <t>FLORIDA CABBAGE BUDGET</t>
  </si>
  <si>
    <t>round green type</t>
  </si>
  <si>
    <t>Region</t>
  </si>
  <si>
    <t>Cabbage yield per acre (lbs)</t>
  </si>
  <si>
    <t>Cabbage Sales</t>
  </si>
  <si>
    <t>Cabbage Packing Materials</t>
  </si>
  <si>
    <t>Field Location</t>
  </si>
  <si>
    <t>Average of SV Nov/Dec 2024 quote and Tri-County May/June 2025 quote.</t>
  </si>
  <si>
    <t>May/June price from Hope was $550/ton, but my SV quotes for UAN28 show 30% increase from Nov/Dec to May. $550/1.3 = $423 would probably more accurately represent cost for 2024-25 growing season.My DTN national average shows UAN32 costing $77/ton more than UAN28 (6/13/25).</t>
  </si>
  <si>
    <t>Cabbage crop insurance, plan/level/cost</t>
  </si>
  <si>
    <t>Plow, lister/middle-buster, 6-bottom</t>
  </si>
  <si>
    <t>Weed control - rotary hoe</t>
  </si>
  <si>
    <t>Rotary hoe, 30'</t>
  </si>
  <si>
    <t>Mustang Maxx insecticide</t>
  </si>
  <si>
    <t>sorghum sudangrass</t>
  </si>
  <si>
    <t>Zeta-cypermethrin</t>
  </si>
  <si>
    <t>Average of SV Nov 2024 quotes &amp; Hope/Diamond R May 2025 quotes</t>
  </si>
  <si>
    <t>Price from Hope/Diamond R., July 2025.</t>
  </si>
  <si>
    <t>Price from Hope/Diamond R., May 2025</t>
  </si>
  <si>
    <t>Vapam</t>
  </si>
  <si>
    <t>Sodium methyldithiocarbamate</t>
  </si>
  <si>
    <t>Equipment operator</t>
  </si>
  <si>
    <t>Fixed Labor and Management for Harvesting &amp; Packing - Whole Farm</t>
  </si>
  <si>
    <t>TOTAL PREHARVEST FIELD OPERATION COSTS</t>
  </si>
  <si>
    <t>Custom services hired</t>
  </si>
  <si>
    <t>Machinery &amp; vehicle fuel</t>
  </si>
  <si>
    <t>Irrigation power</t>
  </si>
  <si>
    <t>Chopper, 4-row drum</t>
  </si>
  <si>
    <t>Chopper, 8-row blade reels</t>
  </si>
  <si>
    <t>Bedder, 16-row</t>
  </si>
  <si>
    <t>Liquid applicator, 3pt, 8-row 40", coulters w/knives, 710-gal tank</t>
  </si>
  <si>
    <t>Lister, 12-row</t>
  </si>
  <si>
    <t>Middlebuster with furrowers, 16-row</t>
  </si>
  <si>
    <t>V-ditch plow</t>
  </si>
  <si>
    <t>Terminate/chop cover crop</t>
  </si>
  <si>
    <t>Incorporate cover crop</t>
  </si>
  <si>
    <t>Lister, 6-row</t>
  </si>
  <si>
    <t>Transplanter</t>
  </si>
  <si>
    <t>Incorporate fertilizer</t>
  </si>
  <si>
    <t>Irrigation trench maintenance</t>
  </si>
  <si>
    <t>Quantities are sum of all applications</t>
  </si>
  <si>
    <t>Fixed production/harvest/pack overhead &amp; labor</t>
  </si>
  <si>
    <t>Variable employee labor for harvest</t>
  </si>
  <si>
    <t>Hauling nurse tank trailers</t>
  </si>
  <si>
    <t>Total preharvest field operations</t>
  </si>
  <si>
    <t>Total Preharvest Production Costs</t>
  </si>
  <si>
    <t>seepage irrigation, rented land</t>
  </si>
  <si>
    <t>Rented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</si>
</sst>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 numFmtId="170" formatCode="&quot;$&quot;#,##0.0000"/>
  </numFmts>
  <fonts count="13"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b/>
      <sz val="14"/>
      <color theme="0"/>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
      <b/>
      <sz val="14"/>
      <color theme="0"/>
      <name val="Aptos Narrow"/>
      <family val="2"/>
      <scheme val="minor"/>
    </font>
    <font>
      <b/>
      <sz val="12"/>
      <color rgb="FF003087"/>
      <name val="Aptos Narrow"/>
      <family val="2"/>
      <scheme val="minor"/>
    </font>
    <font>
      <sz val="12"/>
      <color rgb="FF003087"/>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
      <patternFill patternType="solid">
        <fgColor theme="0"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3087"/>
      </left>
      <right/>
      <top style="thick">
        <color rgb="FFD87C38"/>
      </top>
      <bottom/>
      <diagonal/>
    </border>
    <border>
      <left style="thin">
        <color rgb="FF003087"/>
      </left>
      <right/>
      <top/>
      <bottom/>
      <diagonal/>
    </border>
    <border>
      <left style="thin">
        <color rgb="FF003087"/>
      </left>
      <right style="thin">
        <color indexed="64"/>
      </right>
      <top style="thin">
        <color rgb="FF003087"/>
      </top>
      <bottom style="thin">
        <color indexed="64"/>
      </bottom>
      <diagonal/>
    </border>
    <border>
      <left style="thin">
        <color indexed="64"/>
      </left>
      <right style="thin">
        <color indexed="64"/>
      </right>
      <top style="thin">
        <color rgb="FF003087"/>
      </top>
      <bottom style="thin">
        <color indexed="64"/>
      </bottom>
      <diagonal/>
    </border>
    <border>
      <left style="thin">
        <color indexed="64"/>
      </left>
      <right style="thin">
        <color rgb="FF003087"/>
      </right>
      <top style="thin">
        <color rgb="FF003087"/>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3087"/>
      </left>
      <right/>
      <top style="thin">
        <color rgb="FF003087"/>
      </top>
      <bottom style="thin">
        <color rgb="FF003087"/>
      </bottom>
      <diagonal/>
    </border>
    <border>
      <left/>
      <right/>
      <top style="thin">
        <color rgb="FF003087"/>
      </top>
      <bottom style="thin">
        <color rgb="FF003087"/>
      </bottom>
      <diagonal/>
    </border>
    <border>
      <left/>
      <right style="thin">
        <color rgb="FF003087"/>
      </right>
      <top style="thin">
        <color rgb="FF003087"/>
      </top>
      <bottom style="thin">
        <color rgb="FF003087"/>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350">
    <xf numFmtId="0" fontId="0" fillId="0" borderId="0" xfId="0"/>
    <xf numFmtId="0" fontId="0" fillId="0" borderId="1" xfId="0"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4"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1" fillId="2" borderId="2" xfId="0" applyFont="1" applyFill="1" applyBorder="1"/>
    <xf numFmtId="165" fontId="0" fillId="0" borderId="1" xfId="0" applyNumberFormat="1" applyBorder="1"/>
    <xf numFmtId="0" fontId="0" fillId="2" borderId="0" xfId="0" applyFill="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2" borderId="9" xfId="0" applyFont="1" applyFill="1" applyBorder="1"/>
    <xf numFmtId="0" fontId="1" fillId="2" borderId="9" xfId="0" applyFont="1" applyFill="1" applyBorder="1" applyAlignment="1">
      <alignment horizontal="right" wrapText="1"/>
    </xf>
    <xf numFmtId="0" fontId="1" fillId="2" borderId="10" xfId="0" applyFont="1" applyFill="1" applyBorder="1" applyAlignment="1">
      <alignment horizontal="right" wrapText="1"/>
    </xf>
    <xf numFmtId="0" fontId="1" fillId="2" borderId="9" xfId="0" applyFont="1" applyFill="1" applyBorder="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165" fontId="0" fillId="0" borderId="1" xfId="0" applyNumberFormat="1" applyBorder="1" applyAlignment="1">
      <alignment horizontal="righ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2" borderId="8" xfId="0" applyFont="1" applyFill="1" applyBorder="1"/>
    <xf numFmtId="0" fontId="1" fillId="2" borderId="8" xfId="0" applyFont="1" applyFill="1" applyBorder="1" applyAlignment="1">
      <alignment horizontal="right"/>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164" fontId="1" fillId="4" borderId="1" xfId="0" applyNumberFormat="1" applyFont="1" applyFill="1" applyBorder="1"/>
    <xf numFmtId="0" fontId="9"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6"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0" fontId="9"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0" fontId="1" fillId="2" borderId="9" xfId="0" applyFont="1" applyFill="1" applyBorder="1" applyAlignment="1">
      <alignment horizontal="center" wrapText="1"/>
    </xf>
    <xf numFmtId="0" fontId="0" fillId="0" borderId="1" xfId="0"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1" fillId="4" borderId="22" xfId="0" applyFont="1" applyFill="1" applyBorder="1"/>
    <xf numFmtId="165" fontId="1" fillId="4" borderId="29" xfId="0" applyNumberFormat="1" applyFont="1" applyFill="1" applyBorder="1"/>
    <xf numFmtId="165" fontId="1" fillId="4" borderId="8" xfId="0" applyNumberFormat="1" applyFont="1" applyFill="1" applyBorder="1"/>
    <xf numFmtId="0" fontId="1" fillId="2" borderId="29"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30" xfId="0" applyBorder="1" applyProtection="1">
      <protection locked="0"/>
    </xf>
    <xf numFmtId="165" fontId="0" fillId="4" borderId="31" xfId="0" applyNumberFormat="1" applyFill="1" applyBorder="1" applyProtection="1">
      <protection locked="0"/>
    </xf>
    <xf numFmtId="165" fontId="0" fillId="4" borderId="23" xfId="0" applyNumberFormat="1" applyFill="1" applyBorder="1" applyProtection="1">
      <protection locked="0"/>
    </xf>
    <xf numFmtId="165" fontId="0" fillId="4" borderId="30" xfId="0" applyNumberFormat="1" applyFill="1" applyBorder="1" applyProtection="1">
      <protection locked="0"/>
    </xf>
    <xf numFmtId="0" fontId="0" fillId="0" borderId="31"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0" fontId="0" fillId="0" borderId="5" xfId="0" applyBorder="1" applyProtection="1">
      <protection locked="0"/>
    </xf>
    <xf numFmtId="0" fontId="0" fillId="0" borderId="1"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42" fontId="0" fillId="0" borderId="1" xfId="0" applyNumberFormat="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165" fontId="0" fillId="4" borderId="4" xfId="0" applyNumberFormat="1" applyFill="1" applyBorder="1"/>
    <xf numFmtId="165" fontId="0" fillId="4" borderId="6" xfId="0" applyNumberFormat="1" applyFill="1" applyBorder="1"/>
    <xf numFmtId="10" fontId="0" fillId="4" borderId="1" xfId="1" applyNumberFormat="1" applyFont="1" applyFill="1" applyBorder="1" applyProtection="1"/>
    <xf numFmtId="166" fontId="0" fillId="4" borderId="1" xfId="0" applyNumberFormat="1" applyFill="1" applyBorder="1" applyProtection="1">
      <protection locked="0"/>
    </xf>
    <xf numFmtId="166" fontId="0" fillId="4" borderId="23" xfId="0" applyNumberFormat="1" applyFill="1" applyBorder="1" applyProtection="1">
      <protection locked="0"/>
    </xf>
    <xf numFmtId="164" fontId="1" fillId="2" borderId="1" xfId="0" applyNumberFormat="1" applyFont="1" applyFill="1" applyBorder="1" applyAlignment="1">
      <alignment horizontal="right"/>
    </xf>
    <xf numFmtId="0" fontId="1" fillId="0" borderId="0" xfId="0" applyFont="1" applyAlignment="1">
      <alignment horizontal="right"/>
    </xf>
    <xf numFmtId="165" fontId="1" fillId="2" borderId="1" xfId="0" applyNumberFormat="1" applyFont="1" applyFill="1" applyBorder="1" applyAlignment="1">
      <alignment horizontal="right"/>
    </xf>
    <xf numFmtId="164" fontId="1" fillId="2" borderId="4" xfId="0" applyNumberFormat="1" applyFont="1" applyFill="1" applyBorder="1" applyAlignment="1">
      <alignment horizontal="right"/>
    </xf>
    <xf numFmtId="164" fontId="0" fillId="0" borderId="1" xfId="0" applyNumberFormat="1" applyBorder="1"/>
    <xf numFmtId="0" fontId="1" fillId="0" borderId="2" xfId="0" applyFont="1" applyBorder="1" applyAlignment="1">
      <alignment horizontal="right"/>
    </xf>
    <xf numFmtId="165" fontId="1" fillId="2" borderId="1" xfId="0" applyNumberFormat="1" applyFont="1" applyFill="1" applyBorder="1"/>
    <xf numFmtId="164" fontId="1" fillId="2" borderId="1" xfId="0" applyNumberFormat="1" applyFont="1" applyFill="1" applyBorder="1"/>
    <xf numFmtId="0" fontId="0" fillId="7" borderId="1" xfId="0" applyFill="1" applyBorder="1"/>
    <xf numFmtId="0" fontId="0" fillId="0" borderId="1" xfId="0" applyBorder="1" applyAlignment="1">
      <alignment horizontal="right"/>
    </xf>
    <xf numFmtId="3" fontId="0" fillId="0" borderId="1" xfId="0" applyNumberFormat="1" applyBorder="1"/>
    <xf numFmtId="9" fontId="0" fillId="0" borderId="1" xfId="0" applyNumberFormat="1" applyBorder="1" applyProtection="1">
      <protection locked="0"/>
    </xf>
    <xf numFmtId="9" fontId="0" fillId="0" borderId="1" xfId="0" applyNumberFormat="1" applyBorder="1"/>
    <xf numFmtId="3" fontId="0" fillId="7" borderId="1" xfId="0" applyNumberFormat="1" applyFill="1" applyBorder="1"/>
    <xf numFmtId="49" fontId="0" fillId="0" borderId="1" xfId="0" applyNumberFormat="1" applyBorder="1" applyProtection="1">
      <protection locked="0"/>
    </xf>
    <xf numFmtId="164" fontId="1" fillId="4" borderId="1" xfId="0" applyNumberFormat="1" applyFont="1" applyFill="1" applyBorder="1" applyProtection="1">
      <protection locked="0"/>
    </xf>
    <xf numFmtId="0" fontId="5" fillId="0" borderId="0" xfId="0" applyFont="1"/>
    <xf numFmtId="0" fontId="4" fillId="0" borderId="37" xfId="0" applyFont="1" applyBorder="1"/>
    <xf numFmtId="0" fontId="0" fillId="4" borderId="10" xfId="0" applyFill="1" applyBorder="1" applyProtection="1">
      <protection locked="0"/>
    </xf>
    <xf numFmtId="166" fontId="0" fillId="4" borderId="5" xfId="0" applyNumberFormat="1" applyFill="1" applyBorder="1" applyProtection="1">
      <protection locked="0"/>
    </xf>
    <xf numFmtId="0" fontId="2" fillId="5" borderId="0" xfId="0" applyFont="1" applyFill="1"/>
    <xf numFmtId="0" fontId="1" fillId="5" borderId="0" xfId="0" applyFont="1" applyFill="1" applyAlignment="1">
      <alignment horizontal="right" wrapText="1"/>
    </xf>
    <xf numFmtId="165" fontId="0" fillId="5" borderId="0" xfId="0" applyNumberFormat="1" applyFill="1" applyProtection="1">
      <protection locked="0"/>
    </xf>
    <xf numFmtId="165" fontId="1" fillId="5" borderId="0" xfId="0" applyNumberFormat="1" applyFont="1" applyFill="1"/>
    <xf numFmtId="165" fontId="0" fillId="4" borderId="19" xfId="0" applyNumberFormat="1" applyFill="1" applyBorder="1" applyProtection="1">
      <protection locked="0"/>
    </xf>
    <xf numFmtId="165" fontId="0" fillId="4" borderId="6" xfId="0" applyNumberFormat="1" applyFill="1" applyBorder="1" applyProtection="1">
      <protection locked="0"/>
    </xf>
    <xf numFmtId="0" fontId="0" fillId="0" borderId="19" xfId="0" applyBorder="1" applyProtection="1">
      <protection locked="0"/>
    </xf>
    <xf numFmtId="165" fontId="1" fillId="4" borderId="44" xfId="0" applyNumberFormat="1" applyFont="1" applyFill="1" applyBorder="1" applyProtection="1">
      <protection locked="0"/>
    </xf>
    <xf numFmtId="165" fontId="1" fillId="2" borderId="44" xfId="0" applyNumberFormat="1" applyFont="1" applyFill="1" applyBorder="1" applyProtection="1">
      <protection locked="0"/>
    </xf>
    <xf numFmtId="0" fontId="1" fillId="2" borderId="44" xfId="0" applyFont="1" applyFill="1" applyBorder="1" applyProtection="1">
      <protection locked="0"/>
    </xf>
    <xf numFmtId="165" fontId="1" fillId="4" borderId="41" xfId="0" applyNumberFormat="1" applyFont="1" applyFill="1" applyBorder="1" applyProtection="1">
      <protection locked="0"/>
    </xf>
    <xf numFmtId="0" fontId="1" fillId="2" borderId="22" xfId="0" applyFont="1" applyFill="1" applyBorder="1" applyAlignment="1">
      <alignment horizontal="right" wrapText="1"/>
    </xf>
    <xf numFmtId="165" fontId="1" fillId="2" borderId="42" xfId="0" applyNumberFormat="1" applyFont="1" applyFill="1" applyBorder="1" applyProtection="1">
      <protection locked="0"/>
    </xf>
    <xf numFmtId="164" fontId="0" fillId="0" borderId="4" xfId="0" applyNumberFormat="1" applyBorder="1" applyProtection="1">
      <protection locked="0"/>
    </xf>
    <xf numFmtId="3" fontId="0" fillId="0" borderId="6" xfId="1" applyNumberFormat="1" applyFont="1" applyFill="1" applyBorder="1"/>
    <xf numFmtId="165" fontId="0" fillId="4" borderId="45" xfId="0" applyNumberFormat="1" applyFill="1" applyBorder="1"/>
    <xf numFmtId="0" fontId="1" fillId="5" borderId="0" xfId="0" applyFont="1" applyFill="1" applyAlignment="1">
      <alignment wrapText="1"/>
    </xf>
    <xf numFmtId="0" fontId="1" fillId="5" borderId="0" xfId="0" applyFont="1" applyFill="1" applyAlignment="1">
      <alignment horizontal="right"/>
    </xf>
    <xf numFmtId="164" fontId="0" fillId="5" borderId="0" xfId="0" applyNumberFormat="1" applyFill="1" applyProtection="1">
      <protection locked="0"/>
    </xf>
    <xf numFmtId="164" fontId="0" fillId="5" borderId="0" xfId="0" applyNumberFormat="1" applyFill="1"/>
    <xf numFmtId="9" fontId="0" fillId="5" borderId="0" xfId="1" applyFont="1" applyFill="1" applyBorder="1"/>
    <xf numFmtId="0" fontId="0" fillId="5" borderId="12" xfId="0" applyFill="1" applyBorder="1"/>
    <xf numFmtId="0" fontId="1" fillId="5" borderId="12" xfId="0" applyFont="1" applyFill="1" applyBorder="1" applyAlignment="1">
      <alignment wrapText="1"/>
    </xf>
    <xf numFmtId="0" fontId="0" fillId="0" borderId="9" xfId="0" applyBorder="1" applyProtection="1">
      <protection locked="0"/>
    </xf>
    <xf numFmtId="0" fontId="1" fillId="4" borderId="1" xfId="0" applyFont="1" applyFill="1" applyBorder="1" applyProtection="1">
      <protection locked="0"/>
    </xf>
    <xf numFmtId="164" fontId="1" fillId="4" borderId="4" xfId="0" applyNumberFormat="1" applyFont="1" applyFill="1" applyBorder="1" applyProtection="1">
      <protection locked="0"/>
    </xf>
    <xf numFmtId="0" fontId="1" fillId="4" borderId="4" xfId="0" applyFont="1" applyFill="1" applyBorder="1" applyProtection="1">
      <protection locked="0"/>
    </xf>
    <xf numFmtId="0" fontId="1" fillId="4" borderId="9" xfId="0" applyFont="1" applyFill="1" applyBorder="1" applyProtection="1">
      <protection locked="0"/>
    </xf>
    <xf numFmtId="0" fontId="1" fillId="4" borderId="10" xfId="0" applyFont="1" applyFill="1" applyBorder="1" applyProtection="1">
      <protection locked="0"/>
    </xf>
    <xf numFmtId="0" fontId="11" fillId="2" borderId="36" xfId="0" applyFont="1" applyFill="1" applyBorder="1"/>
    <xf numFmtId="0" fontId="11" fillId="2" borderId="15" xfId="0" applyFont="1" applyFill="1" applyBorder="1"/>
    <xf numFmtId="170" fontId="0" fillId="4" borderId="4" xfId="0" applyNumberFormat="1" applyFill="1" applyBorder="1"/>
    <xf numFmtId="170" fontId="0" fillId="4" borderId="6" xfId="1" applyNumberFormat="1" applyFont="1" applyFill="1" applyBorder="1"/>
    <xf numFmtId="170" fontId="0" fillId="4" borderId="1" xfId="1" applyNumberFormat="1" applyFont="1" applyFill="1" applyBorder="1"/>
    <xf numFmtId="0" fontId="1" fillId="2" borderId="1" xfId="0" applyFont="1" applyFill="1" applyBorder="1" applyAlignment="1">
      <alignment horizontal="left"/>
    </xf>
    <xf numFmtId="0" fontId="0" fillId="4" borderId="4" xfId="0" applyFill="1" applyBorder="1" applyProtection="1">
      <protection locked="0"/>
    </xf>
    <xf numFmtId="0" fontId="0" fillId="4" borderId="9" xfId="0" applyFill="1" applyBorder="1" applyProtection="1">
      <protection locked="0"/>
    </xf>
    <xf numFmtId="164" fontId="1" fillId="4" borderId="4" xfId="0" applyNumberFormat="1" applyFont="1" applyFill="1" applyBorder="1"/>
    <xf numFmtId="170" fontId="0" fillId="4" borderId="4" xfId="0" applyNumberFormat="1" applyFill="1" applyBorder="1" applyProtection="1">
      <protection locked="0"/>
    </xf>
    <xf numFmtId="164" fontId="1" fillId="2" borderId="5" xfId="0" applyNumberFormat="1" applyFont="1" applyFill="1" applyBorder="1" applyAlignment="1">
      <alignment horizontal="right"/>
    </xf>
    <xf numFmtId="164" fontId="0" fillId="2" borderId="1" xfId="0" applyNumberFormat="1" applyFill="1" applyBorder="1"/>
    <xf numFmtId="165" fontId="0" fillId="4" borderId="1" xfId="1" applyNumberFormat="1" applyFont="1" applyFill="1" applyBorder="1"/>
    <xf numFmtId="0" fontId="0" fillId="0" borderId="1" xfId="0" applyBorder="1" applyAlignment="1">
      <alignment horizontal="center"/>
    </xf>
    <xf numFmtId="9" fontId="0" fillId="0" borderId="1" xfId="0" applyNumberFormat="1" applyBorder="1" applyAlignment="1">
      <alignment horizontal="center"/>
    </xf>
    <xf numFmtId="3" fontId="0" fillId="0" borderId="6" xfId="0" applyNumberFormat="1" applyBorder="1"/>
    <xf numFmtId="164" fontId="1" fillId="2" borderId="4" xfId="0" applyNumberFormat="1" applyFont="1" applyFill="1" applyBorder="1" applyAlignment="1" applyProtection="1">
      <alignment horizontal="right" wrapText="1"/>
      <protection locked="0"/>
    </xf>
    <xf numFmtId="164" fontId="0" fillId="4" borderId="4" xfId="0" applyNumberFormat="1" applyFill="1" applyBorder="1" applyProtection="1">
      <protection locked="0"/>
    </xf>
    <xf numFmtId="0" fontId="12" fillId="0" borderId="1" xfId="0" applyFont="1" applyBorder="1"/>
    <xf numFmtId="164" fontId="0" fillId="0" borderId="8" xfId="0" applyNumberFormat="1" applyBorder="1" applyAlignment="1">
      <alignment horizontal="right"/>
    </xf>
    <xf numFmtId="170" fontId="0" fillId="0" borderId="1" xfId="0" applyNumberFormat="1" applyBorder="1" applyAlignment="1">
      <alignment horizontal="right"/>
    </xf>
    <xf numFmtId="164" fontId="0" fillId="0" borderId="1"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4" fontId="0" fillId="0" borderId="26" xfId="0" applyNumberFormat="1" applyBorder="1"/>
    <xf numFmtId="6" fontId="0" fillId="0" borderId="5" xfId="0" applyNumberFormat="1" applyBorder="1"/>
    <xf numFmtId="6" fontId="0" fillId="0" borderId="23" xfId="0" applyNumberFormat="1" applyBorder="1"/>
    <xf numFmtId="6" fontId="1" fillId="0" borderId="8" xfId="0" applyNumberFormat="1" applyFont="1" applyBorder="1"/>
    <xf numFmtId="8" fontId="1" fillId="0" borderId="24" xfId="0" applyNumberFormat="1" applyFont="1" applyBorder="1"/>
    <xf numFmtId="6" fontId="1" fillId="0" borderId="24" xfId="0" applyNumberFormat="1" applyFont="1" applyBorder="1"/>
    <xf numFmtId="165" fontId="1" fillId="0" borderId="48" xfId="0" applyNumberFormat="1" applyFont="1" applyBorder="1"/>
    <xf numFmtId="165" fontId="1" fillId="0" borderId="49" xfId="0" applyNumberFormat="1" applyFont="1" applyBorder="1"/>
    <xf numFmtId="3" fontId="1" fillId="0" borderId="27" xfId="0" applyNumberFormat="1" applyFont="1" applyBorder="1" applyAlignment="1">
      <alignment horizontal="center"/>
    </xf>
    <xf numFmtId="6" fontId="0" fillId="0" borderId="13" xfId="0" applyNumberFormat="1" applyBorder="1"/>
    <xf numFmtId="6" fontId="0" fillId="0" borderId="10" xfId="0" applyNumberFormat="1" applyBorder="1"/>
    <xf numFmtId="0" fontId="1" fillId="2" borderId="30" xfId="0" applyFont="1" applyFill="1" applyBorder="1" applyAlignment="1">
      <alignment horizontal="right"/>
    </xf>
    <xf numFmtId="165" fontId="0" fillId="4" borderId="24" xfId="0" applyNumberFormat="1" applyFill="1" applyBorder="1"/>
    <xf numFmtId="165" fontId="0" fillId="4" borderId="23" xfId="0" applyNumberFormat="1" applyFill="1" applyBorder="1"/>
    <xf numFmtId="6" fontId="1" fillId="0" borderId="1" xfId="0" applyNumberFormat="1" applyFont="1" applyBorder="1"/>
    <xf numFmtId="170" fontId="1" fillId="0" borderId="1" xfId="0" applyNumberFormat="1" applyFont="1" applyBorder="1" applyAlignment="1">
      <alignment horizontal="right"/>
    </xf>
    <xf numFmtId="164" fontId="1" fillId="0" borderId="1" xfId="0" applyNumberFormat="1" applyFont="1" applyBorder="1" applyAlignment="1">
      <alignment horizontal="right"/>
    </xf>
    <xf numFmtId="6" fontId="1" fillId="0" borderId="5" xfId="0" applyNumberFormat="1" applyFont="1" applyBorder="1"/>
    <xf numFmtId="0" fontId="9" fillId="0" borderId="6" xfId="0" applyFont="1" applyBorder="1" applyAlignment="1">
      <alignment vertical="top" wrapText="1"/>
    </xf>
    <xf numFmtId="0" fontId="9" fillId="0" borderId="32" xfId="0" applyFont="1" applyBorder="1" applyAlignment="1">
      <alignment vertical="top" wrapText="1"/>
    </xf>
    <xf numFmtId="0" fontId="9" fillId="0" borderId="21" xfId="0" applyFont="1" applyBorder="1" applyAlignment="1">
      <alignment vertical="top" wrapText="1"/>
    </xf>
    <xf numFmtId="0" fontId="9" fillId="0" borderId="1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22" xfId="0" applyFont="1" applyBorder="1" applyAlignment="1">
      <alignment vertical="top" wrapText="1"/>
    </xf>
    <xf numFmtId="0" fontId="9" fillId="0" borderId="2" xfId="0" applyFont="1" applyBorder="1" applyAlignment="1">
      <alignment vertical="top" wrapText="1"/>
    </xf>
    <xf numFmtId="0" fontId="9" fillId="0" borderId="13" xfId="0" applyFont="1" applyBorder="1" applyAlignment="1">
      <alignment vertical="top" wrapText="1"/>
    </xf>
    <xf numFmtId="0" fontId="9" fillId="0" borderId="6" xfId="0" applyFont="1" applyBorder="1" applyAlignment="1" applyProtection="1">
      <alignment vertical="top" wrapText="1"/>
      <protection locked="0"/>
    </xf>
    <xf numFmtId="0" fontId="9" fillId="0" borderId="32"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13" xfId="0" applyFont="1" applyBorder="1" applyAlignment="1" applyProtection="1">
      <alignment vertical="top" wrapText="1"/>
      <protection locked="0"/>
    </xf>
    <xf numFmtId="0" fontId="0" fillId="0" borderId="4" xfId="0" applyBorder="1"/>
    <xf numFmtId="0" fontId="0" fillId="0" borderId="9" xfId="0" applyBorder="1"/>
    <xf numFmtId="0" fontId="0" fillId="0" borderId="10" xfId="0" applyBorder="1"/>
    <xf numFmtId="0" fontId="1" fillId="0" borderId="50" xfId="0" applyFont="1" applyBorder="1" applyAlignment="1">
      <alignment horizontal="center"/>
    </xf>
    <xf numFmtId="0" fontId="1" fillId="0" borderId="28" xfId="0" applyFont="1" applyBorder="1" applyAlignment="1">
      <alignment horizontal="center"/>
    </xf>
    <xf numFmtId="0" fontId="1" fillId="2" borderId="1" xfId="0" applyFont="1" applyFill="1" applyBorder="1"/>
    <xf numFmtId="0" fontId="0" fillId="0" borderId="1" xfId="0" applyBorder="1"/>
    <xf numFmtId="0" fontId="1" fillId="2" borderId="4" xfId="0" applyFont="1" applyFill="1" applyBorder="1"/>
    <xf numFmtId="0" fontId="1" fillId="2" borderId="9" xfId="0" applyFont="1" applyFill="1" applyBorder="1"/>
    <xf numFmtId="0" fontId="1" fillId="2" borderId="10" xfId="0" applyFont="1" applyFill="1" applyBorder="1"/>
    <xf numFmtId="0" fontId="0" fillId="0" borderId="0" xfId="0"/>
    <xf numFmtId="0" fontId="2" fillId="2" borderId="38" xfId="0" applyFont="1" applyFill="1" applyBorder="1"/>
    <xf numFmtId="0" fontId="2" fillId="2" borderId="39" xfId="0" applyFont="1" applyFill="1" applyBorder="1"/>
    <xf numFmtId="0" fontId="2" fillId="2" borderId="40" xfId="0" applyFont="1" applyFill="1" applyBorder="1"/>
    <xf numFmtId="0" fontId="1" fillId="0" borderId="7" xfId="0" applyFont="1" applyBorder="1" applyAlignment="1">
      <alignment horizontal="center"/>
    </xf>
    <xf numFmtId="0" fontId="1" fillId="0" borderId="1" xfId="0" applyFont="1" applyBorder="1" applyAlignment="1">
      <alignment horizontal="center"/>
    </xf>
    <xf numFmtId="0" fontId="10" fillId="3" borderId="14" xfId="0" applyFont="1" applyFill="1" applyBorder="1"/>
    <xf numFmtId="0" fontId="1" fillId="0" borderId="2" xfId="0" applyFont="1" applyBorder="1"/>
    <xf numFmtId="0" fontId="1" fillId="2" borderId="22" xfId="0" applyFont="1" applyFill="1" applyBorder="1"/>
    <xf numFmtId="0" fontId="1" fillId="2" borderId="2" xfId="0" applyFont="1" applyFill="1" applyBorder="1"/>
    <xf numFmtId="0" fontId="1" fillId="2" borderId="13" xfId="0" applyFont="1" applyFill="1" applyBorder="1"/>
    <xf numFmtId="0" fontId="1" fillId="0" borderId="4" xfId="0" applyFont="1" applyBorder="1"/>
    <xf numFmtId="0" fontId="1" fillId="0" borderId="9" xfId="0" applyFont="1" applyBorder="1"/>
    <xf numFmtId="0" fontId="1" fillId="0" borderId="10" xfId="0" applyFont="1" applyBorder="1"/>
    <xf numFmtId="0" fontId="1" fillId="0" borderId="33" xfId="0" applyFont="1" applyBorder="1"/>
    <xf numFmtId="0" fontId="1" fillId="0" borderId="34" xfId="0" applyFont="1" applyBorder="1"/>
    <xf numFmtId="0" fontId="1" fillId="0" borderId="35" xfId="0" applyFont="1" applyBorder="1"/>
    <xf numFmtId="0" fontId="1" fillId="0" borderId="1" xfId="0" applyFont="1" applyBorder="1"/>
    <xf numFmtId="0" fontId="0" fillId="0" borderId="23" xfId="0" applyBorder="1"/>
    <xf numFmtId="0" fontId="11" fillId="2" borderId="15" xfId="0" applyFont="1" applyFill="1" applyBorder="1"/>
    <xf numFmtId="0" fontId="12" fillId="0" borderId="1" xfId="0" applyFont="1" applyBorder="1"/>
    <xf numFmtId="0" fontId="0" fillId="4" borderId="4" xfId="0" applyFill="1" applyBorder="1"/>
    <xf numFmtId="0" fontId="0" fillId="4" borderId="9" xfId="0" applyFill="1" applyBorder="1"/>
    <xf numFmtId="0" fontId="0" fillId="4" borderId="10" xfId="0" applyFill="1" applyBorder="1"/>
    <xf numFmtId="0" fontId="7" fillId="2" borderId="18" xfId="0" applyFont="1" applyFill="1" applyBorder="1"/>
    <xf numFmtId="0" fontId="0" fillId="4" borderId="1" xfId="0" applyFill="1" applyBorder="1"/>
    <xf numFmtId="0" fontId="0" fillId="4" borderId="6" xfId="0" applyFill="1" applyBorder="1"/>
    <xf numFmtId="0" fontId="0" fillId="4" borderId="32" xfId="0" applyFill="1" applyBorder="1"/>
    <xf numFmtId="0" fontId="0" fillId="4" borderId="21" xfId="0" applyFill="1" applyBorder="1"/>
    <xf numFmtId="0" fontId="0" fillId="4" borderId="45" xfId="0" applyFill="1" applyBorder="1"/>
    <xf numFmtId="0" fontId="0" fillId="4" borderId="46" xfId="0" applyFill="1" applyBorder="1"/>
    <xf numFmtId="0" fontId="0" fillId="4" borderId="47" xfId="0" applyFill="1" applyBorder="1"/>
    <xf numFmtId="0" fontId="1" fillId="2" borderId="4" xfId="0" applyFont="1" applyFill="1" applyBorder="1" applyAlignment="1">
      <alignment horizontal="left"/>
    </xf>
    <xf numFmtId="0" fontId="1" fillId="2" borderId="9" xfId="0" applyFont="1" applyFill="1" applyBorder="1" applyAlignment="1">
      <alignment horizontal="left"/>
    </xf>
    <xf numFmtId="0" fontId="1" fillId="2" borderId="10" xfId="0" applyFont="1" applyFill="1" applyBorder="1" applyAlignment="1">
      <alignment horizontal="left"/>
    </xf>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1" fillId="4" borderId="4" xfId="0" applyFont="1" applyFill="1" applyBorder="1"/>
    <xf numFmtId="0" fontId="1" fillId="4" borderId="9" xfId="0" applyFont="1" applyFill="1" applyBorder="1"/>
    <xf numFmtId="0" fontId="1" fillId="4" borderId="10" xfId="0" applyFont="1" applyFill="1" applyBorder="1"/>
    <xf numFmtId="0" fontId="0" fillId="4" borderId="4" xfId="0" applyFill="1" applyBorder="1" applyProtection="1">
      <protection locked="0"/>
    </xf>
    <xf numFmtId="0" fontId="0" fillId="4" borderId="9" xfId="0" applyFill="1" applyBorder="1" applyProtection="1">
      <protection locked="0"/>
    </xf>
    <xf numFmtId="0" fontId="0" fillId="4" borderId="10" xfId="0" applyFill="1" applyBorder="1" applyProtection="1">
      <protection locked="0"/>
    </xf>
    <xf numFmtId="0" fontId="1" fillId="2" borderId="4" xfId="0" applyFont="1" applyFill="1" applyBorder="1" applyProtection="1">
      <protection locked="0"/>
    </xf>
    <xf numFmtId="0" fontId="1" fillId="2" borderId="9" xfId="0" applyFont="1" applyFill="1" applyBorder="1" applyProtection="1">
      <protection locked="0"/>
    </xf>
    <xf numFmtId="0" fontId="1" fillId="2" borderId="10" xfId="0" applyFont="1" applyFill="1" applyBorder="1" applyProtection="1">
      <protection locked="0"/>
    </xf>
    <xf numFmtId="0" fontId="1" fillId="4" borderId="4" xfId="0" applyFont="1" applyFill="1" applyBorder="1" applyProtection="1">
      <protection locked="0"/>
    </xf>
    <xf numFmtId="0" fontId="1" fillId="4" borderId="9" xfId="0" applyFont="1" applyFill="1" applyBorder="1" applyProtection="1">
      <protection locked="0"/>
    </xf>
    <xf numFmtId="0" fontId="1" fillId="4" borderId="10" xfId="0" applyFont="1" applyFill="1" applyBorder="1" applyProtection="1">
      <protection locked="0"/>
    </xf>
    <xf numFmtId="0" fontId="2" fillId="2" borderId="1" xfId="0" applyFont="1" applyFill="1" applyBorder="1"/>
    <xf numFmtId="0" fontId="0" fillId="0" borderId="30"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22" xfId="0" applyFont="1" applyFill="1" applyBorder="1"/>
    <xf numFmtId="0" fontId="1" fillId="4" borderId="2" xfId="0" applyFont="1" applyFill="1" applyBorder="1"/>
    <xf numFmtId="0" fontId="1" fillId="4" borderId="13" xfId="0" applyFont="1" applyFill="1" applyBorder="1"/>
    <xf numFmtId="0" fontId="1" fillId="4" borderId="42" xfId="0" applyFont="1" applyFill="1" applyBorder="1"/>
    <xf numFmtId="0" fontId="1" fillId="4" borderId="43" xfId="0" applyFont="1" applyFill="1" applyBorder="1"/>
    <xf numFmtId="0" fontId="2" fillId="2" borderId="4" xfId="0" applyFont="1" applyFill="1" applyBorder="1"/>
    <xf numFmtId="0" fontId="2" fillId="2" borderId="9" xfId="0" applyFont="1" applyFill="1" applyBorder="1"/>
    <xf numFmtId="0" fontId="2" fillId="2" borderId="10" xfId="0" applyFont="1" applyFill="1" applyBorder="1"/>
    <xf numFmtId="0" fontId="0" fillId="2" borderId="1" xfId="0" applyFill="1" applyBorder="1"/>
    <xf numFmtId="0" fontId="1" fillId="2" borderId="30" xfId="0" applyFont="1" applyFill="1" applyBorder="1"/>
    <xf numFmtId="0" fontId="1" fillId="2" borderId="11" xfId="0" applyFont="1" applyFill="1" applyBorder="1"/>
    <xf numFmtId="0" fontId="1" fillId="2" borderId="25" xfId="0" applyFont="1" applyFill="1" applyBorder="1"/>
    <xf numFmtId="0" fontId="0" fillId="4" borderId="33" xfId="0" applyFill="1" applyBorder="1"/>
    <xf numFmtId="0" fontId="0" fillId="4" borderId="34" xfId="0" applyFill="1" applyBorder="1"/>
    <xf numFmtId="0" fontId="0" fillId="4" borderId="35" xfId="0" applyFill="1" applyBorder="1"/>
    <xf numFmtId="0" fontId="0" fillId="4" borderId="30" xfId="0" applyFill="1" applyBorder="1"/>
    <xf numFmtId="0" fontId="0" fillId="4" borderId="11" xfId="0" applyFill="1" applyBorder="1"/>
    <xf numFmtId="0" fontId="0" fillId="4" borderId="25" xfId="0" applyFill="1" applyBorder="1"/>
    <xf numFmtId="0" fontId="1" fillId="4" borderId="8" xfId="0" applyFont="1" applyFill="1" applyBorder="1"/>
    <xf numFmtId="0" fontId="0" fillId="0" borderId="1" xfId="0" applyBorder="1" applyProtection="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0" xfId="0" applyFont="1" applyFill="1" applyBorder="1"/>
    <xf numFmtId="0" fontId="1" fillId="0" borderId="2" xfId="0" applyFont="1" applyBorder="1" applyAlignment="1">
      <alignment horizontal="center"/>
    </xf>
    <xf numFmtId="0" fontId="0" fillId="0" borderId="0" xfId="0" applyAlignment="1">
      <alignment wrapText="1"/>
    </xf>
    <xf numFmtId="0" fontId="1" fillId="2" borderId="0" xfId="0" applyFont="1" applyFill="1"/>
    <xf numFmtId="0" fontId="8" fillId="0" borderId="0" xfId="0" applyFont="1"/>
    <xf numFmtId="0" fontId="0" fillId="0" borderId="7" xfId="0" applyFill="1" applyBorder="1" applyProtection="1">
      <protection locked="0"/>
    </xf>
  </cellXfs>
  <cellStyles count="3">
    <cellStyle name="Currency" xfId="2" builtinId="4"/>
    <cellStyle name="Normal" xfId="0" builtinId="0"/>
    <cellStyle name="Percent" xfId="1" builtinId="5"/>
  </cellStyles>
  <dxfs count="7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5B89B4"/>
      <color rgb="FF003087"/>
      <color rgb="FFD87C38"/>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76</xdr:row>
      <xdr:rowOff>0</xdr:rowOff>
    </xdr:from>
    <xdr:to>
      <xdr:col>3</xdr:col>
      <xdr:colOff>171450</xdr:colOff>
      <xdr:row>78</xdr:row>
      <xdr:rowOff>18669</xdr:rowOff>
    </xdr:to>
    <xdr:pic>
      <xdr:nvPicPr>
        <xdr:cNvPr id="2" name="Picture 1">
          <a:extLst>
            <a:ext uri="{FF2B5EF4-FFF2-40B4-BE49-F238E27FC236}">
              <a16:creationId xmlns:a16="http://schemas.microsoft.com/office/drawing/2014/main" id="{34DE5796-DBD4-45D5-8B24-07D0D76B8E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14036040"/>
          <a:ext cx="2520315"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72" dataDxfId="70" headerRowBorderDxfId="71" tableBorderDxfId="6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68"/>
    <tableColumn id="2" xr3:uid="{CD4A96D0-0372-4CAE-A6F9-D02196AB82F4}" name="Hourly Wage" dataDxfId="67"/>
    <tableColumn id="3" xr3:uid="{282061D2-A8D2-4D5B-B4AB-F9A82A1E7DD4}" name="Payroll Overhead" dataDxfId="66" dataCellStyle="Percent"/>
    <tableColumn id="4" xr3:uid="{E1DA3CF3-F1F9-4803-ABBC-89B6DDCDD84C}" name="Cost per Hour" dataDxfId="65">
      <calculatedColumnFormula>IF(ISBLANK(C4),"",C4*(1+D4))</calculatedColumnFormula>
    </tableColumn>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64" headerRowBorderDxfId="63" tableBorderDxfId="62">
  <autoFilter ref="B10:C15" xr:uid="{CD9405D3-D2A6-4201-940D-DD404A44644C}">
    <filterColumn colId="0" hiddenButton="1"/>
    <filterColumn colId="1" hiddenButton="1"/>
  </autoFilter>
  <tableColumns count="2">
    <tableColumn id="1" xr3:uid="{E0C390F2-1371-4D9F-A147-B96AD8D0C4FB}" name="Fuel Types" dataDxfId="61"/>
    <tableColumn id="2" xr3:uid="{DCAA13CE-3051-40F9-ABA3-5816782B24A8}" name="Cost ($/gal)" dataDxfId="6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29" totalsRowShown="0" headerRowDxfId="59" dataDxfId="58" tableBorderDxfId="57">
  <autoFilter ref="B26:E29"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56"/>
    <tableColumn id="2" xr3:uid="{C6AED1D5-42FC-480B-992D-CD8FD78058E5}" name="Type or Specs" dataDxfId="55"/>
    <tableColumn id="3" xr3:uid="{22137B8C-1D80-4BE4-BCDB-01AE99E2D7BA}" name="Unit" dataDxfId="54"/>
    <tableColumn id="4" xr3:uid="{41CFCDEE-3674-4894-A23D-6380916376F7}" name="Cost per Unit" dataDxfId="5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14" totalsRowShown="0" headerRowDxfId="52" dataDxfId="51" tableBorderDxfId="50">
  <autoFilter ref="B6:P14"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17:O47" totalsRowShown="0" headerRowDxfId="34" dataDxfId="33" tableBorderDxfId="32">
  <autoFilter ref="B17:O47"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F18*(VLOOKUP(C18,MachineCoefficientTable,2,FALSE)-(VLOOKUP(C18,MachineCoefficientTable,3,FALSE)*(H18^0.5))-(VLOOKUP(C18,MachineCoefficientTable,4,FALSE)*(G18^0.5)))^2</calculatedColumnFormula>
    </tableColumn>
    <tableColumn id="9" xr3:uid="{FC976304-5845-4E25-8693-651807921EAB}" name="Deprec + Interest or Lease" dataDxfId="23">
      <calculatedColumnFormula>IF(ISBLANK(B18),"",PMT(InterestRate_Machinery,H18,-F18,I18,1))</calculatedColumnFormula>
    </tableColumn>
    <tableColumn id="10" xr3:uid="{6CA4E4F3-4032-412C-B842-3B58DA545D21}" name="Tax Ins Hsg" dataDxfId="22">
      <calculatedColumnFormula>F18*0.02</calculatedColumnFormula>
    </tableColumn>
    <tableColumn id="11" xr3:uid="{F56D3F9D-DB5F-4626-B3D3-6A598A9F34D9}" name="Total Ownership Cost" dataDxfId="21">
      <calculatedColumnFormula>J18+K18</calculatedColumnFormula>
    </tableColumn>
    <tableColumn id="12" xr3:uid="{BED20FC9-80C1-4E2C-9507-A0483411EA68}" name="Repair &amp; Maintenance" dataDxfId="20">
      <calculatedColumnFormula>(VLOOKUP(C18,MachineCoefficientTable,5,FALSE)*F18*((G18*H18)/1000)^VLOOKUP(C18,MachineCoefficientTable,6,FALSE))/H18</calculatedColumnFormula>
    </tableColumn>
    <tableColumn id="13" xr3:uid="{31FEEF6D-4B0A-4BDB-BBB0-5D89288097EF}" name="Ownership Allocation" dataDxfId="19">
      <calculatedColumnFormula>L18/G18</calculatedColumnFormula>
    </tableColumn>
    <tableColumn id="14" xr3:uid="{21B14B4F-7701-4216-B4D1-00D51300F9BD}" name="R &amp; M Cost" dataDxfId="18">
      <calculatedColumnFormula>M18/G18</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50:P55" totalsRowShown="0" headerRowDxfId="17" dataDxfId="16" tableBorderDxfId="15">
  <autoFilter ref="B50:P55"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IF(ISBLANK(B51),"",PMT(InterestRate_Machinery,H51,-F51,I51,1))</calculatedColumnFormula>
    </tableColumn>
    <tableColumn id="10" xr3:uid="{9202731F-FB12-4BC0-8B2A-0389F33B1B34}" name="Tax &amp; Insurance" dataDxfId="5"/>
    <tableColumn id="11" xr3:uid="{0AC0B583-352C-4AA9-8351-7C9F6B579E90}" name="Total Ownership Cost" dataDxfId="4">
      <calculatedColumnFormula>IF(ISBLANK(B51),"",J51+K51)</calculatedColumnFormula>
    </tableColumn>
    <tableColumn id="12" xr3:uid="{45773365-46A1-4028-9AE2-7B43C640A941}" name="Repair &amp; Maintenance" dataDxfId="3"/>
    <tableColumn id="13" xr3:uid="{5AE7735D-3599-46F8-BFFC-950A4FBAEF0F}" name="Ownership Allocation" dataDxfId="2">
      <calculatedColumnFormula>IF(ISBLANK(B51),"",L51/G51)</calculatedColumnFormula>
    </tableColumn>
    <tableColumn id="14" xr3:uid="{3EED3320-82A3-4692-A1DB-280C117E766C}" name="R &amp; M Cost" dataDxfId="1">
      <calculatedColumnFormula>IF(ISBLANK(B51),"",M51/G51)</calculatedColumnFormula>
    </tableColumn>
    <tableColumn id="15" xr3:uid="{465CD398-F9DA-49CC-AACB-FDC67C2C56B2}" name="Fuel Gallons"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1.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75"/>
  <sheetViews>
    <sheetView showGridLines="0" tabSelected="1" workbookViewId="0"/>
  </sheetViews>
  <sheetFormatPr defaultRowHeight="15" x14ac:dyDescent="0.25"/>
  <cols>
    <col min="1" max="1" width="4.7109375" customWidth="1"/>
    <col min="2" max="2" width="19.7109375" customWidth="1"/>
    <col min="3" max="7" width="14.7109375" customWidth="1"/>
    <col min="8" max="8" width="7.7109375" customWidth="1"/>
  </cols>
  <sheetData>
    <row r="1" spans="2:8" x14ac:dyDescent="0.25">
      <c r="B1" s="266"/>
      <c r="C1" s="266"/>
      <c r="D1" s="266"/>
      <c r="E1" s="266"/>
      <c r="F1" s="266"/>
      <c r="G1" s="266"/>
    </row>
    <row r="2" spans="2:8" ht="19.5" thickBot="1" x14ac:dyDescent="0.35">
      <c r="B2" s="272" t="s">
        <v>407</v>
      </c>
      <c r="C2" s="272"/>
      <c r="D2" s="272"/>
      <c r="E2" s="272"/>
      <c r="F2" s="272"/>
      <c r="G2" s="272"/>
      <c r="H2" s="8"/>
    </row>
    <row r="3" spans="2:8" ht="19.5" thickTop="1" x14ac:dyDescent="0.3">
      <c r="B3" s="196" t="s">
        <v>343</v>
      </c>
      <c r="C3" s="285" t="s">
        <v>409</v>
      </c>
      <c r="D3" s="285"/>
      <c r="E3" s="285" t="s">
        <v>344</v>
      </c>
      <c r="F3" s="285"/>
      <c r="G3" s="197" t="s">
        <v>345</v>
      </c>
      <c r="H3" s="164"/>
    </row>
    <row r="4" spans="2:8" ht="15.75" x14ac:dyDescent="0.25">
      <c r="B4" s="214" t="s">
        <v>408</v>
      </c>
      <c r="C4" s="286" t="s">
        <v>210</v>
      </c>
      <c r="D4" s="286"/>
      <c r="E4" s="286" t="s">
        <v>453</v>
      </c>
      <c r="F4" s="286"/>
      <c r="G4" s="214" t="s">
        <v>208</v>
      </c>
    </row>
    <row r="5" spans="2:8" x14ac:dyDescent="0.25">
      <c r="B5" s="163"/>
      <c r="C5" s="163"/>
      <c r="D5" s="163"/>
      <c r="E5" s="163"/>
      <c r="F5" s="163"/>
      <c r="G5" s="163"/>
    </row>
    <row r="6" spans="2:8" x14ac:dyDescent="0.25">
      <c r="B6" s="273" t="s">
        <v>373</v>
      </c>
      <c r="C6" s="273"/>
      <c r="D6" s="273"/>
      <c r="E6" s="152" t="s">
        <v>320</v>
      </c>
      <c r="F6" s="148" t="s">
        <v>321</v>
      </c>
      <c r="G6" s="152" t="s">
        <v>322</v>
      </c>
    </row>
    <row r="7" spans="2:8" x14ac:dyDescent="0.25">
      <c r="B7" s="274" t="s">
        <v>374</v>
      </c>
      <c r="C7" s="275"/>
      <c r="D7" s="276"/>
      <c r="E7" s="150">
        <f>SUM(E8:E12)</f>
        <v>1509.846</v>
      </c>
      <c r="F7" s="149">
        <f t="shared" ref="F7:G7" si="0">SUM(F8:F12)</f>
        <v>3.5948714285714285E-2</v>
      </c>
      <c r="G7" s="147">
        <f t="shared" si="0"/>
        <v>60393.84</v>
      </c>
    </row>
    <row r="8" spans="2:8" x14ac:dyDescent="0.25">
      <c r="B8" s="256" t="s">
        <v>269</v>
      </c>
      <c r="C8" s="257"/>
      <c r="D8" s="258"/>
      <c r="E8" s="215">
        <f>SeedCostPerAcre</f>
        <v>586.625</v>
      </c>
      <c r="F8" s="216">
        <f>IFERROR(E8/YieldPerAcre,"")</f>
        <v>1.3967261904761904E-2</v>
      </c>
      <c r="G8" s="217">
        <f>E8*FieldAcres_Planted</f>
        <v>23465</v>
      </c>
    </row>
    <row r="9" spans="2:8" x14ac:dyDescent="0.25">
      <c r="B9" s="256" t="s">
        <v>2</v>
      </c>
      <c r="C9" s="257"/>
      <c r="D9" s="258"/>
      <c r="E9" s="217">
        <f>FertilizerCostPerAcre</f>
        <v>478.81</v>
      </c>
      <c r="F9" s="216">
        <f>IFERROR(E9/YieldPerAcre,"")</f>
        <v>1.1400238095238095E-2</v>
      </c>
      <c r="G9" s="217">
        <f>E9*FieldAcres_Planted</f>
        <v>19152.400000000001</v>
      </c>
    </row>
    <row r="10" spans="2:8" x14ac:dyDescent="0.25">
      <c r="B10" s="256" t="s">
        <v>229</v>
      </c>
      <c r="C10" s="257"/>
      <c r="D10" s="258"/>
      <c r="E10" s="217">
        <f>PesticideCostPerAcre</f>
        <v>360.68099999999998</v>
      </c>
      <c r="F10" s="216">
        <f>IFERROR(E10/YieldPerAcre,"")</f>
        <v>8.5876428571428562E-3</v>
      </c>
      <c r="G10" s="217">
        <f>E10*FieldAcres_Planted</f>
        <v>14427.24</v>
      </c>
    </row>
    <row r="11" spans="2:8" x14ac:dyDescent="0.25">
      <c r="B11" s="256" t="s">
        <v>311</v>
      </c>
      <c r="C11" s="257"/>
      <c r="D11" s="258"/>
      <c r="E11" s="217">
        <f>OtherMaterialCostPerAcre</f>
        <v>50.730000000000004</v>
      </c>
      <c r="F11" s="216">
        <f>IFERROR(E11/YieldPerAcre,"")</f>
        <v>1.2078571428571429E-3</v>
      </c>
      <c r="G11" s="217">
        <f>E11*FieldAcres_Planted</f>
        <v>2029.2000000000003</v>
      </c>
    </row>
    <row r="12" spans="2:8" x14ac:dyDescent="0.25">
      <c r="B12" s="256" t="s">
        <v>3</v>
      </c>
      <c r="C12" s="257"/>
      <c r="D12" s="258"/>
      <c r="E12" s="218">
        <f>CustomCostPerAcre</f>
        <v>33</v>
      </c>
      <c r="F12" s="216">
        <f>IFERROR(E12/YieldPerAcre,"")</f>
        <v>7.8571428571428575E-4</v>
      </c>
      <c r="G12" s="217">
        <f>E12*FieldAcres_Planted</f>
        <v>1320</v>
      </c>
    </row>
    <row r="13" spans="2:8" x14ac:dyDescent="0.25">
      <c r="B13" s="263" t="s">
        <v>384</v>
      </c>
      <c r="C13" s="264"/>
      <c r="D13" s="265"/>
      <c r="E13" s="206">
        <f>E14+E15</f>
        <v>369.69909663763906</v>
      </c>
      <c r="F13" s="149">
        <f t="shared" ref="F13:G13" si="1">F14+F15</f>
        <v>8.8023594437533111E-3</v>
      </c>
      <c r="G13" s="147">
        <f t="shared" si="1"/>
        <v>14787.963865505564</v>
      </c>
    </row>
    <row r="14" spans="2:8" x14ac:dyDescent="0.25">
      <c r="B14" s="256" t="s">
        <v>383</v>
      </c>
      <c r="C14" s="257"/>
      <c r="D14" s="258"/>
      <c r="E14" s="219">
        <f>FieldOpsVarLaborCostPerAcre</f>
        <v>287.4135966376391</v>
      </c>
      <c r="F14" s="216">
        <f>IFERROR(E14/YieldPerAcre,"")</f>
        <v>6.8431808723247401E-3</v>
      </c>
      <c r="G14" s="217">
        <f>E14*FieldAcres_Planted</f>
        <v>11496.543865505564</v>
      </c>
    </row>
    <row r="15" spans="2:8" x14ac:dyDescent="0.25">
      <c r="B15" s="256" t="s">
        <v>388</v>
      </c>
      <c r="C15" s="257"/>
      <c r="D15" s="258"/>
      <c r="E15" s="219">
        <f>FieldOpsFixedLaborCostPerAcre</f>
        <v>82.285499999999985</v>
      </c>
      <c r="F15" s="216">
        <f>IFERROR(E15/YieldPerAcre,"")</f>
        <v>1.9591785714285709E-3</v>
      </c>
      <c r="G15" s="217">
        <f>E15*FieldAcres_Planted</f>
        <v>3291.4199999999992</v>
      </c>
    </row>
    <row r="16" spans="2:8" x14ac:dyDescent="0.25">
      <c r="B16" s="263" t="s">
        <v>310</v>
      </c>
      <c r="C16" s="264"/>
      <c r="D16" s="265"/>
      <c r="E16" s="150">
        <f>SUM(E17:E22)</f>
        <v>356.02186180012359</v>
      </c>
      <c r="F16" s="149">
        <f t="shared" ref="F16:G16" si="2">SUM(F17:F22)</f>
        <v>8.4767109952410373E-3</v>
      </c>
      <c r="G16" s="147">
        <f t="shared" si="2"/>
        <v>14240.874472004944</v>
      </c>
    </row>
    <row r="17" spans="2:7" x14ac:dyDescent="0.25">
      <c r="B17" s="256" t="s">
        <v>432</v>
      </c>
      <c r="C17" s="257"/>
      <c r="D17" s="258"/>
      <c r="E17" s="217">
        <f>FieldOpsFuelCostPerAcre</f>
        <v>102.01126699016361</v>
      </c>
      <c r="F17" s="216">
        <f t="shared" ref="F17:F22" si="3">IFERROR(E17/YieldPerAcre,"")</f>
        <v>2.4288396902419906E-3</v>
      </c>
      <c r="G17" s="217">
        <f t="shared" ref="G17:G22" si="4">E17*FieldAcres_Planted</f>
        <v>4080.4506796065443</v>
      </c>
    </row>
    <row r="18" spans="2:7" x14ac:dyDescent="0.25">
      <c r="B18" s="256" t="s">
        <v>386</v>
      </c>
      <c r="C18" s="257"/>
      <c r="D18" s="258"/>
      <c r="E18" s="217">
        <f>FieldOpsMachRepairCostPerAcre</f>
        <v>75.322658827620927</v>
      </c>
      <c r="F18" s="216">
        <f t="shared" si="3"/>
        <v>1.7933966387528792E-3</v>
      </c>
      <c r="G18" s="217">
        <f t="shared" si="4"/>
        <v>3012.9063531048369</v>
      </c>
    </row>
    <row r="19" spans="2:7" x14ac:dyDescent="0.25">
      <c r="B19" s="256" t="s">
        <v>433</v>
      </c>
      <c r="C19" s="257"/>
      <c r="D19" s="258"/>
      <c r="E19" s="217">
        <f>IrrigPowerCostPerAcre</f>
        <v>23.086199999999998</v>
      </c>
      <c r="F19" s="216">
        <f t="shared" si="3"/>
        <v>5.4967142857142851E-4</v>
      </c>
      <c r="G19" s="217">
        <f t="shared" si="4"/>
        <v>923.44799999999987</v>
      </c>
    </row>
    <row r="20" spans="2:7" x14ac:dyDescent="0.25">
      <c r="B20" s="256" t="s">
        <v>385</v>
      </c>
      <c r="C20" s="257"/>
      <c r="D20" s="258"/>
      <c r="E20" s="218">
        <f>IrrigRepairCostPerAcre</f>
        <v>3</v>
      </c>
      <c r="F20" s="216">
        <f t="shared" si="3"/>
        <v>7.1428571428571434E-5</v>
      </c>
      <c r="G20" s="217">
        <f t="shared" si="4"/>
        <v>120</v>
      </c>
    </row>
    <row r="21" spans="2:7" x14ac:dyDescent="0.25">
      <c r="B21" s="256" t="s">
        <v>316</v>
      </c>
      <c r="C21" s="257"/>
      <c r="D21" s="258"/>
      <c r="E21" s="218">
        <f>CropInsuranceCostPerAcre</f>
        <v>39</v>
      </c>
      <c r="F21" s="216">
        <f t="shared" si="3"/>
        <v>9.2857142857142856E-4</v>
      </c>
      <c r="G21" s="217">
        <f t="shared" si="4"/>
        <v>1560</v>
      </c>
    </row>
    <row r="22" spans="2:7" x14ac:dyDescent="0.25">
      <c r="B22" s="256" t="s">
        <v>4</v>
      </c>
      <c r="C22" s="257"/>
      <c r="D22" s="258"/>
      <c r="E22" s="218">
        <f>(E7+E13+SUM(E17:E21)+E24)*InterestRate_EffectiveOperating</f>
        <v>113.60173598233906</v>
      </c>
      <c r="F22" s="216">
        <f t="shared" si="3"/>
        <v>2.7048032376747397E-3</v>
      </c>
      <c r="G22" s="217">
        <f t="shared" si="4"/>
        <v>4544.0694392935629</v>
      </c>
    </row>
    <row r="23" spans="2:7" x14ac:dyDescent="0.25">
      <c r="B23" s="263" t="s">
        <v>313</v>
      </c>
      <c r="C23" s="264"/>
      <c r="D23" s="265"/>
      <c r="E23" s="150">
        <f>SUM(E24:E26)</f>
        <v>389.42674605898134</v>
      </c>
      <c r="F23" s="149">
        <f t="shared" ref="F23:G23" si="5">SUM(F24:F26)</f>
        <v>9.2720653823566979E-3</v>
      </c>
      <c r="G23" s="147">
        <f t="shared" si="5"/>
        <v>15577.069842359253</v>
      </c>
    </row>
    <row r="24" spans="2:7" x14ac:dyDescent="0.25">
      <c r="B24" s="256" t="s">
        <v>249</v>
      </c>
      <c r="C24" s="257"/>
      <c r="D24" s="258"/>
      <c r="E24" s="215">
        <f>FoodSafetyCostPerAcre</f>
        <v>20</v>
      </c>
      <c r="F24" s="216">
        <f>IFERROR(E24/YieldPerAcre,"")</f>
        <v>4.7619047619047619E-4</v>
      </c>
      <c r="G24" s="217">
        <f>E24*FieldAcres_Planted</f>
        <v>800</v>
      </c>
    </row>
    <row r="25" spans="2:7" x14ac:dyDescent="0.25">
      <c r="B25" s="256" t="s">
        <v>315</v>
      </c>
      <c r="C25" s="257"/>
      <c r="D25" s="258"/>
      <c r="E25" s="218">
        <f>MachineryFixedCostPerAcre_Preharvest</f>
        <v>335.65512095985611</v>
      </c>
      <c r="F25" s="216">
        <f>IFERROR(E25/YieldPerAcre,"")</f>
        <v>7.991788594282288E-3</v>
      </c>
      <c r="G25" s="217">
        <f>E25*FieldAcres_Planted</f>
        <v>13426.204838394244</v>
      </c>
    </row>
    <row r="26" spans="2:7" x14ac:dyDescent="0.25">
      <c r="B26" s="256" t="s">
        <v>5</v>
      </c>
      <c r="C26" s="257"/>
      <c r="D26" s="258"/>
      <c r="E26" s="219">
        <f>VehicleFixedCostPerAcre</f>
        <v>33.771625099125224</v>
      </c>
      <c r="F26" s="216">
        <f>IFERROR(E26/YieldPerAcre,"")</f>
        <v>8.0408631188393391E-4</v>
      </c>
      <c r="G26" s="217">
        <f>E26*FieldAcres_Planted</f>
        <v>1350.865003965009</v>
      </c>
    </row>
    <row r="27" spans="2:7" x14ac:dyDescent="0.25">
      <c r="B27" s="263" t="s">
        <v>328</v>
      </c>
      <c r="C27" s="264"/>
      <c r="D27" s="265"/>
      <c r="E27" s="150">
        <f>E28</f>
        <v>221</v>
      </c>
      <c r="F27" s="149">
        <f t="shared" ref="F27:G27" si="6">F28</f>
        <v>5.2619047619047619E-3</v>
      </c>
      <c r="G27" s="147">
        <f t="shared" si="6"/>
        <v>8840</v>
      </c>
    </row>
    <row r="28" spans="2:7" x14ac:dyDescent="0.25">
      <c r="B28" s="256" t="s">
        <v>329</v>
      </c>
      <c r="C28" s="257"/>
      <c r="D28" s="258"/>
      <c r="E28" s="220">
        <f>FieldCostPerAcre</f>
        <v>221</v>
      </c>
      <c r="F28" s="216">
        <f>IFERROR(E28/YieldPerAcre,"")</f>
        <v>5.2619047619047619E-3</v>
      </c>
      <c r="G28" s="217">
        <f>E28*FieldAcres_Planted</f>
        <v>8840</v>
      </c>
    </row>
    <row r="29" spans="2:7" x14ac:dyDescent="0.25">
      <c r="B29" s="263" t="s">
        <v>452</v>
      </c>
      <c r="C29" s="264"/>
      <c r="D29" s="265"/>
      <c r="E29" s="150">
        <f>E7+E13+E16+E23+E27</f>
        <v>2845.9937044967442</v>
      </c>
      <c r="F29" s="153">
        <f>IFERROR(E29/YieldPerAcre,"")</f>
        <v>6.7761754868970098E-2</v>
      </c>
      <c r="G29" s="154">
        <f>G7+G16+G23+G27</f>
        <v>99051.784314364195</v>
      </c>
    </row>
    <row r="31" spans="2:7" x14ac:dyDescent="0.25">
      <c r="B31" s="2" t="s">
        <v>376</v>
      </c>
      <c r="E31" s="148" t="s">
        <v>320</v>
      </c>
      <c r="F31" s="148" t="s">
        <v>321</v>
      </c>
      <c r="G31" s="148" t="s">
        <v>322</v>
      </c>
    </row>
    <row r="32" spans="2:7" x14ac:dyDescent="0.25">
      <c r="B32" s="261" t="s">
        <v>377</v>
      </c>
      <c r="C32" s="261"/>
      <c r="D32" s="261"/>
      <c r="E32" s="154">
        <f>SUM(E33:E35)</f>
        <v>4444.2506000000003</v>
      </c>
      <c r="F32" s="153">
        <f t="shared" ref="F32:G32" si="7">SUM(F33:F35)</f>
        <v>0.10581549047619046</v>
      </c>
      <c r="G32" s="154">
        <f t="shared" si="7"/>
        <v>177770.024</v>
      </c>
    </row>
    <row r="33" spans="2:7" x14ac:dyDescent="0.25">
      <c r="B33" s="262" t="s">
        <v>312</v>
      </c>
      <c r="C33" s="262"/>
      <c r="D33" s="262"/>
      <c r="E33" s="151">
        <f>PackingMaterialCostPerAcre</f>
        <v>2541</v>
      </c>
      <c r="F33" s="216">
        <f>IFERROR(E33/YieldPerAcre,"")</f>
        <v>6.0499999999999998E-2</v>
      </c>
      <c r="G33" s="217">
        <f>E33*FieldAcres_Planted</f>
        <v>101640</v>
      </c>
    </row>
    <row r="34" spans="2:7" x14ac:dyDescent="0.25">
      <c r="B34" s="262" t="s">
        <v>378</v>
      </c>
      <c r="C34" s="262"/>
      <c r="D34" s="262"/>
      <c r="E34" s="151">
        <f>VarLaborHPCostPerAcre</f>
        <v>1750</v>
      </c>
      <c r="F34" s="216">
        <f>IFERROR(E34/YieldPerAcre,"")</f>
        <v>4.1666666666666664E-2</v>
      </c>
      <c r="G34" s="217">
        <f>E34*FieldAcres_Planted</f>
        <v>70000</v>
      </c>
    </row>
    <row r="35" spans="2:7" x14ac:dyDescent="0.25">
      <c r="B35" s="262" t="s">
        <v>379</v>
      </c>
      <c r="C35" s="262"/>
      <c r="D35" s="262"/>
      <c r="E35" s="151">
        <f>VariableHPOverheadPerAcre</f>
        <v>153.25060000000002</v>
      </c>
      <c r="F35" s="216">
        <f>IFERROR(E35/YieldPerAcre,"")</f>
        <v>3.6488238095238098E-3</v>
      </c>
      <c r="G35" s="217">
        <f>E35*FieldAcres_Planted</f>
        <v>6130.0240000000013</v>
      </c>
    </row>
    <row r="36" spans="2:7" x14ac:dyDescent="0.25">
      <c r="B36" s="261" t="s">
        <v>380</v>
      </c>
      <c r="C36" s="261"/>
      <c r="D36" s="261"/>
      <c r="E36" s="154">
        <f>E37+E38</f>
        <v>360.76499999999999</v>
      </c>
      <c r="F36" s="153">
        <f t="shared" ref="F36:G36" si="8">F37+F38</f>
        <v>8.5896428571428565E-3</v>
      </c>
      <c r="G36" s="154">
        <f t="shared" si="8"/>
        <v>14430.599999999999</v>
      </c>
    </row>
    <row r="37" spans="2:7" x14ac:dyDescent="0.25">
      <c r="B37" s="262" t="s">
        <v>389</v>
      </c>
      <c r="C37" s="262"/>
      <c r="D37" s="262"/>
      <c r="E37" s="151">
        <f>FixedHPLaborCostPerAcre</f>
        <v>43</v>
      </c>
      <c r="F37" s="216">
        <f>IFERROR(E37/YieldPerAcre,"")</f>
        <v>1.0238095238095238E-3</v>
      </c>
      <c r="G37" s="217">
        <f>E37*FieldAcres_Planted</f>
        <v>1720</v>
      </c>
    </row>
    <row r="38" spans="2:7" x14ac:dyDescent="0.25">
      <c r="B38" s="262" t="s">
        <v>381</v>
      </c>
      <c r="C38" s="262"/>
      <c r="D38" s="262"/>
      <c r="E38" s="151">
        <f>FixedHPOverheadPerAcre</f>
        <v>317.76499999999999</v>
      </c>
      <c r="F38" s="216">
        <f>IFERROR(E38/YieldPerAcre,"")</f>
        <v>7.5658333333333333E-3</v>
      </c>
      <c r="G38" s="217">
        <f>E38*FieldAcres_Planted</f>
        <v>12710.599999999999</v>
      </c>
    </row>
    <row r="39" spans="2:7" x14ac:dyDescent="0.25">
      <c r="B39" s="261" t="s">
        <v>382</v>
      </c>
      <c r="C39" s="261"/>
      <c r="D39" s="261"/>
      <c r="E39" s="154">
        <f>E32+E36</f>
        <v>4805.0156000000006</v>
      </c>
      <c r="F39" s="153">
        <f t="shared" ref="F39:G39" si="9">F32+F36</f>
        <v>0.11440513333333331</v>
      </c>
      <c r="G39" s="154">
        <f t="shared" si="9"/>
        <v>192200.62400000001</v>
      </c>
    </row>
    <row r="41" spans="2:7" x14ac:dyDescent="0.25">
      <c r="B41" s="5" t="s">
        <v>317</v>
      </c>
      <c r="C41" s="5"/>
      <c r="D41" s="5"/>
      <c r="E41" s="152"/>
      <c r="F41" s="148"/>
      <c r="G41" s="152"/>
    </row>
    <row r="42" spans="2:7" x14ac:dyDescent="0.25">
      <c r="B42" s="263" t="s">
        <v>323</v>
      </c>
      <c r="C42" s="264"/>
      <c r="D42" s="265"/>
      <c r="E42" s="150" t="s">
        <v>320</v>
      </c>
      <c r="F42" s="149" t="s">
        <v>321</v>
      </c>
      <c r="G42" s="147" t="s">
        <v>322</v>
      </c>
    </row>
    <row r="43" spans="2:7" x14ac:dyDescent="0.25">
      <c r="B43" s="256" t="s">
        <v>375</v>
      </c>
      <c r="C43" s="257"/>
      <c r="D43" s="258"/>
      <c r="E43" s="151">
        <f>GrossRevenuePerAcre</f>
        <v>8754.4800000000014</v>
      </c>
      <c r="F43" s="216">
        <f t="shared" ref="F43:F51" si="10">IFERROR(E43/YieldPerAcre,"")</f>
        <v>0.20844000000000004</v>
      </c>
      <c r="G43" s="217">
        <f t="shared" ref="G43:G51" si="11">E43*FieldAcres_Planted</f>
        <v>350179.20000000007</v>
      </c>
    </row>
    <row r="44" spans="2:7" x14ac:dyDescent="0.25">
      <c r="B44" s="256" t="s">
        <v>325</v>
      </c>
      <c r="C44" s="257"/>
      <c r="D44" s="258"/>
      <c r="E44" s="151">
        <f>E39</f>
        <v>4805.0156000000006</v>
      </c>
      <c r="F44" s="216">
        <f t="shared" si="10"/>
        <v>0.11440513333333335</v>
      </c>
      <c r="G44" s="217">
        <f t="shared" si="11"/>
        <v>192200.62400000001</v>
      </c>
    </row>
    <row r="45" spans="2:7" x14ac:dyDescent="0.25">
      <c r="B45" s="283" t="s">
        <v>324</v>
      </c>
      <c r="C45" s="283"/>
      <c r="D45" s="283"/>
      <c r="E45" s="234">
        <f>E43-E44</f>
        <v>3949.4644000000008</v>
      </c>
      <c r="F45" s="235">
        <f t="shared" si="10"/>
        <v>9.4034866666666689E-2</v>
      </c>
      <c r="G45" s="236">
        <f t="shared" si="11"/>
        <v>157978.57600000003</v>
      </c>
    </row>
    <row r="46" spans="2:7" x14ac:dyDescent="0.25">
      <c r="B46" s="256" t="s">
        <v>405</v>
      </c>
      <c r="C46" s="257"/>
      <c r="D46" s="258"/>
      <c r="E46" s="221">
        <f>E7+E14+E16+E32</f>
        <v>6597.5320584377632</v>
      </c>
      <c r="F46" s="216">
        <f t="shared" si="10"/>
        <v>0.15708409662947057</v>
      </c>
      <c r="G46" s="217">
        <f t="shared" si="11"/>
        <v>263901.28233751055</v>
      </c>
    </row>
    <row r="47" spans="2:7" x14ac:dyDescent="0.25">
      <c r="B47" s="277" t="s">
        <v>330</v>
      </c>
      <c r="C47" s="278"/>
      <c r="D47" s="279"/>
      <c r="E47" s="237">
        <f>E43-E46</f>
        <v>2156.9479415622382</v>
      </c>
      <c r="F47" s="235">
        <f t="shared" si="10"/>
        <v>5.1355903370529477E-2</v>
      </c>
      <c r="G47" s="236">
        <f t="shared" si="11"/>
        <v>86277.917662489519</v>
      </c>
    </row>
    <row r="48" spans="2:7" x14ac:dyDescent="0.25">
      <c r="B48" s="256" t="s">
        <v>331</v>
      </c>
      <c r="C48" s="257"/>
      <c r="D48" s="258"/>
      <c r="E48" s="221">
        <f>E27</f>
        <v>221</v>
      </c>
      <c r="F48" s="216">
        <f t="shared" si="10"/>
        <v>5.2619047619047619E-3</v>
      </c>
      <c r="G48" s="217">
        <f t="shared" si="11"/>
        <v>8840</v>
      </c>
    </row>
    <row r="49" spans="2:7" x14ac:dyDescent="0.25">
      <c r="B49" s="277" t="s">
        <v>314</v>
      </c>
      <c r="C49" s="278"/>
      <c r="D49" s="279"/>
      <c r="E49" s="237">
        <f>E47-E48</f>
        <v>1935.9479415622382</v>
      </c>
      <c r="F49" s="235">
        <f t="shared" si="10"/>
        <v>4.6093998608624717E-2</v>
      </c>
      <c r="G49" s="236">
        <f t="shared" si="11"/>
        <v>77437.917662489519</v>
      </c>
    </row>
    <row r="50" spans="2:7" ht="15.75" thickBot="1" x14ac:dyDescent="0.3">
      <c r="B50" s="284" t="s">
        <v>448</v>
      </c>
      <c r="C50" s="284"/>
      <c r="D50" s="284"/>
      <c r="E50" s="222">
        <f>E15+E23+E36</f>
        <v>832.47724605898134</v>
      </c>
      <c r="F50" s="216">
        <f t="shared" si="10"/>
        <v>1.9820886810928126E-2</v>
      </c>
      <c r="G50" s="217">
        <f t="shared" si="11"/>
        <v>33299.089842359252</v>
      </c>
    </row>
    <row r="51" spans="2:7" x14ac:dyDescent="0.25">
      <c r="B51" s="280" t="s">
        <v>326</v>
      </c>
      <c r="C51" s="281"/>
      <c r="D51" s="282"/>
      <c r="E51" s="223">
        <f>E49-E50</f>
        <v>1103.4706955032568</v>
      </c>
      <c r="F51" s="224">
        <f t="shared" si="10"/>
        <v>2.6273111797696591E-2</v>
      </c>
      <c r="G51" s="225">
        <f t="shared" si="11"/>
        <v>44138.827820130275</v>
      </c>
    </row>
    <row r="53" spans="2:7" x14ac:dyDescent="0.25">
      <c r="B53" s="261" t="s">
        <v>6</v>
      </c>
      <c r="C53" s="261"/>
      <c r="D53" s="261"/>
      <c r="E53" s="261"/>
      <c r="F53" s="261"/>
      <c r="G53" s="261"/>
    </row>
    <row r="54" spans="2:7" x14ac:dyDescent="0.25">
      <c r="B54" s="259" t="s">
        <v>327</v>
      </c>
      <c r="C54" s="270" t="s">
        <v>341</v>
      </c>
      <c r="D54" s="271"/>
      <c r="E54" s="271"/>
      <c r="F54" s="271"/>
      <c r="G54" s="271"/>
    </row>
    <row r="55" spans="2:7" ht="15.75" thickBot="1" x14ac:dyDescent="0.3">
      <c r="B55" s="260"/>
      <c r="C55" s="226">
        <f>E55*0.8</f>
        <v>0.16675200000000004</v>
      </c>
      <c r="D55" s="227">
        <f>E55*0.9</f>
        <v>0.18759600000000004</v>
      </c>
      <c r="E55" s="227">
        <f>AvgFarmRevenuePerLb</f>
        <v>0.20844000000000004</v>
      </c>
      <c r="F55" s="227">
        <f>E55*1.1</f>
        <v>0.22928400000000007</v>
      </c>
      <c r="G55" s="227">
        <f>E55*1.2</f>
        <v>0.25012800000000002</v>
      </c>
    </row>
    <row r="56" spans="2:7" x14ac:dyDescent="0.25">
      <c r="B56" s="228">
        <f>B58*1.2</f>
        <v>50400</v>
      </c>
      <c r="C56" s="229">
        <f t="shared" ref="C56:G60" si="12">IFERROR(($B56*(C$55-$F$32))-$E$29-$E$36,"")</f>
        <v>-135.55862449674134</v>
      </c>
      <c r="D56" s="229">
        <f t="shared" si="12"/>
        <v>914.97897550325877</v>
      </c>
      <c r="E56" s="229">
        <f t="shared" si="12"/>
        <v>1965.5165755032585</v>
      </c>
      <c r="F56" s="229">
        <f t="shared" si="12"/>
        <v>3016.05417550326</v>
      </c>
      <c r="G56" s="229">
        <f t="shared" si="12"/>
        <v>4066.5917755032583</v>
      </c>
    </row>
    <row r="57" spans="2:7" x14ac:dyDescent="0.25">
      <c r="B57" s="228">
        <f>B58*1.1</f>
        <v>46200.000000000007</v>
      </c>
      <c r="C57" s="230">
        <f t="shared" si="12"/>
        <v>-391.49196449674093</v>
      </c>
      <c r="D57" s="230">
        <f t="shared" si="12"/>
        <v>571.50083550325905</v>
      </c>
      <c r="E57" s="230">
        <f t="shared" si="12"/>
        <v>1534.4936355032596</v>
      </c>
      <c r="F57" s="230">
        <f t="shared" si="12"/>
        <v>2497.4864355032605</v>
      </c>
      <c r="G57" s="230">
        <f t="shared" si="12"/>
        <v>3460.4792355032587</v>
      </c>
    </row>
    <row r="58" spans="2:7" x14ac:dyDescent="0.25">
      <c r="B58" s="228">
        <f>YieldPerAcre</f>
        <v>42000</v>
      </c>
      <c r="C58" s="230">
        <f t="shared" si="12"/>
        <v>-647.42530449674189</v>
      </c>
      <c r="D58" s="230">
        <f t="shared" si="12"/>
        <v>228.02269550325843</v>
      </c>
      <c r="E58" s="230">
        <f>IFERROR(($B58*(E$55-$F$32))-$E$29-$E$36,"")</f>
        <v>1103.470695503258</v>
      </c>
      <c r="F58" s="230">
        <f t="shared" si="12"/>
        <v>1978.9186955032592</v>
      </c>
      <c r="G58" s="230">
        <f t="shared" si="12"/>
        <v>2854.3666955032577</v>
      </c>
    </row>
    <row r="59" spans="2:7" x14ac:dyDescent="0.25">
      <c r="B59" s="228">
        <f>B58*0.9</f>
        <v>37800</v>
      </c>
      <c r="C59" s="230">
        <f t="shared" si="12"/>
        <v>-903.35864449674193</v>
      </c>
      <c r="D59" s="230">
        <f t="shared" si="12"/>
        <v>-115.45544449674219</v>
      </c>
      <c r="E59" s="230">
        <f t="shared" si="12"/>
        <v>672.44775550325801</v>
      </c>
      <c r="F59" s="230">
        <f t="shared" si="12"/>
        <v>1460.3509555032597</v>
      </c>
      <c r="G59" s="230">
        <f t="shared" si="12"/>
        <v>2248.2541555032576</v>
      </c>
    </row>
    <row r="60" spans="2:7" x14ac:dyDescent="0.25">
      <c r="B60" s="228">
        <f>B58*0.8</f>
        <v>33600</v>
      </c>
      <c r="C60" s="230">
        <f t="shared" si="12"/>
        <v>-1159.2919844967423</v>
      </c>
      <c r="D60" s="230">
        <f t="shared" si="12"/>
        <v>-458.93358449674236</v>
      </c>
      <c r="E60" s="230">
        <f t="shared" si="12"/>
        <v>241.42481550325772</v>
      </c>
      <c r="F60" s="230">
        <f t="shared" si="12"/>
        <v>941.78321550325916</v>
      </c>
      <c r="G60" s="230">
        <f t="shared" si="12"/>
        <v>1642.1416155032575</v>
      </c>
    </row>
    <row r="62" spans="2:7" x14ac:dyDescent="0.25">
      <c r="B62" s="267" t="s">
        <v>7</v>
      </c>
      <c r="C62" s="268"/>
      <c r="D62" s="268"/>
      <c r="E62" s="268"/>
      <c r="F62" s="268"/>
      <c r="G62" s="269"/>
    </row>
    <row r="63" spans="2:7" ht="14.45" customHeight="1" x14ac:dyDescent="0.25">
      <c r="B63" s="247" t="s">
        <v>263</v>
      </c>
      <c r="C63" s="248"/>
      <c r="D63" s="248"/>
      <c r="E63" s="248"/>
      <c r="F63" s="248"/>
      <c r="G63" s="249"/>
    </row>
    <row r="64" spans="2:7" x14ac:dyDescent="0.25">
      <c r="B64" s="250"/>
      <c r="C64" s="251"/>
      <c r="D64" s="251"/>
      <c r="E64" s="251"/>
      <c r="F64" s="251"/>
      <c r="G64" s="252"/>
    </row>
    <row r="65" spans="2:7" x14ac:dyDescent="0.25">
      <c r="B65" s="250"/>
      <c r="C65" s="251"/>
      <c r="D65" s="251"/>
      <c r="E65" s="251"/>
      <c r="F65" s="251"/>
      <c r="G65" s="252"/>
    </row>
    <row r="66" spans="2:7" x14ac:dyDescent="0.25">
      <c r="B66" s="250"/>
      <c r="C66" s="251"/>
      <c r="D66" s="251"/>
      <c r="E66" s="251"/>
      <c r="F66" s="251"/>
      <c r="G66" s="252"/>
    </row>
    <row r="67" spans="2:7" x14ac:dyDescent="0.25">
      <c r="B67" s="250"/>
      <c r="C67" s="251"/>
      <c r="D67" s="251"/>
      <c r="E67" s="251"/>
      <c r="F67" s="251"/>
      <c r="G67" s="252"/>
    </row>
    <row r="68" spans="2:7" x14ac:dyDescent="0.25">
      <c r="B68" s="250"/>
      <c r="C68" s="251"/>
      <c r="D68" s="251"/>
      <c r="E68" s="251"/>
      <c r="F68" s="251"/>
      <c r="G68" s="252"/>
    </row>
    <row r="69" spans="2:7" x14ac:dyDescent="0.25">
      <c r="B69" s="253"/>
      <c r="C69" s="254"/>
      <c r="D69" s="254"/>
      <c r="E69" s="254"/>
      <c r="F69" s="254"/>
      <c r="G69" s="255"/>
    </row>
    <row r="71" spans="2:7" x14ac:dyDescent="0.25">
      <c r="B71" s="267" t="s">
        <v>0</v>
      </c>
      <c r="C71" s="268"/>
      <c r="D71" s="268"/>
      <c r="E71" s="268"/>
      <c r="F71" s="268"/>
      <c r="G71" s="269"/>
    </row>
    <row r="72" spans="2:7" ht="14.45" customHeight="1" x14ac:dyDescent="0.25">
      <c r="B72" s="238" t="s">
        <v>406</v>
      </c>
      <c r="C72" s="239"/>
      <c r="D72" s="239"/>
      <c r="E72" s="239"/>
      <c r="F72" s="239"/>
      <c r="G72" s="240"/>
    </row>
    <row r="73" spans="2:7" x14ac:dyDescent="0.25">
      <c r="B73" s="241"/>
      <c r="C73" s="242"/>
      <c r="D73" s="242"/>
      <c r="E73" s="242"/>
      <c r="F73" s="242"/>
      <c r="G73" s="243"/>
    </row>
    <row r="74" spans="2:7" x14ac:dyDescent="0.25">
      <c r="B74" s="241"/>
      <c r="C74" s="242"/>
      <c r="D74" s="242"/>
      <c r="E74" s="242"/>
      <c r="F74" s="242"/>
      <c r="G74" s="243"/>
    </row>
    <row r="75" spans="2:7" x14ac:dyDescent="0.25">
      <c r="B75" s="244"/>
      <c r="C75" s="245"/>
      <c r="D75" s="245"/>
      <c r="E75" s="245"/>
      <c r="F75" s="245"/>
      <c r="G75" s="246"/>
    </row>
  </sheetData>
  <mergeCells count="55">
    <mergeCell ref="C3:D3"/>
    <mergeCell ref="C4:D4"/>
    <mergeCell ref="E3:F3"/>
    <mergeCell ref="E4:F4"/>
    <mergeCell ref="B24:D24"/>
    <mergeCell ref="B9:D9"/>
    <mergeCell ref="B10:D10"/>
    <mergeCell ref="B11:D11"/>
    <mergeCell ref="B12:D12"/>
    <mergeCell ref="B20:D20"/>
    <mergeCell ref="B14:D14"/>
    <mergeCell ref="B23:D23"/>
    <mergeCell ref="B51:D51"/>
    <mergeCell ref="B45:D45"/>
    <mergeCell ref="B50:D50"/>
    <mergeCell ref="B47:D47"/>
    <mergeCell ref="B48:D48"/>
    <mergeCell ref="B35:D35"/>
    <mergeCell ref="B1:G1"/>
    <mergeCell ref="B62:G62"/>
    <mergeCell ref="B71:G71"/>
    <mergeCell ref="C54:G54"/>
    <mergeCell ref="B53:G53"/>
    <mergeCell ref="B2:G2"/>
    <mergeCell ref="B42:D42"/>
    <mergeCell ref="B43:D43"/>
    <mergeCell ref="B6:D6"/>
    <mergeCell ref="B13:D13"/>
    <mergeCell ref="B16:D16"/>
    <mergeCell ref="B7:D7"/>
    <mergeCell ref="B8:D8"/>
    <mergeCell ref="B26:D26"/>
    <mergeCell ref="B49:D49"/>
    <mergeCell ref="B25:D25"/>
    <mergeCell ref="B32:D32"/>
    <mergeCell ref="B33:D33"/>
    <mergeCell ref="B34:D34"/>
    <mergeCell ref="B27:D27"/>
    <mergeCell ref="B28:D28"/>
    <mergeCell ref="B72:G75"/>
    <mergeCell ref="B63:G69"/>
    <mergeCell ref="B15:D15"/>
    <mergeCell ref="B54:B55"/>
    <mergeCell ref="B46:D46"/>
    <mergeCell ref="B36:D36"/>
    <mergeCell ref="B37:D37"/>
    <mergeCell ref="B38:D38"/>
    <mergeCell ref="B39:D39"/>
    <mergeCell ref="B21:D21"/>
    <mergeCell ref="B29:D29"/>
    <mergeCell ref="B44:D44"/>
    <mergeCell ref="B17:D17"/>
    <mergeCell ref="B18:D18"/>
    <mergeCell ref="B19:D19"/>
    <mergeCell ref="B22:D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J79"/>
  <sheetViews>
    <sheetView topLeftCell="A58" zoomScale="120" zoomScaleNormal="120" workbookViewId="0">
      <selection activeCell="A7" sqref="A7"/>
    </sheetView>
  </sheetViews>
  <sheetFormatPr defaultColWidth="8.85546875" defaultRowHeight="15" x14ac:dyDescent="0.25"/>
  <cols>
    <col min="1" max="1" width="4.7109375" style="16" customWidth="1"/>
    <col min="2" max="2" width="40.7109375" style="16" customWidth="1"/>
    <col min="3" max="6" width="12.7109375" style="16" customWidth="1"/>
    <col min="7" max="7" width="4.7109375" style="16" customWidth="1"/>
    <col min="8" max="13" width="8.85546875" style="16"/>
    <col min="14" max="14" width="12.140625" style="16" customWidth="1"/>
    <col min="15" max="16384" width="8.85546875" style="16"/>
  </cols>
  <sheetData>
    <row r="1" spans="2:6" ht="19.5" thickBot="1" x14ac:dyDescent="0.35">
      <c r="B1" s="290" t="s">
        <v>213</v>
      </c>
      <c r="C1" s="290"/>
      <c r="D1" s="290"/>
      <c r="E1" s="290"/>
      <c r="F1" s="290"/>
    </row>
    <row r="3" spans="2:6" x14ac:dyDescent="0.25">
      <c r="B3" s="263" t="s">
        <v>307</v>
      </c>
      <c r="C3" s="264"/>
      <c r="D3" s="264"/>
      <c r="E3" s="264"/>
      <c r="F3" s="265"/>
    </row>
    <row r="4" spans="2:6" x14ac:dyDescent="0.25">
      <c r="B4" s="287" t="s">
        <v>410</v>
      </c>
      <c r="C4" s="288"/>
      <c r="D4" s="288"/>
      <c r="E4" s="289"/>
      <c r="F4" s="157">
        <v>42000</v>
      </c>
    </row>
    <row r="5" spans="2:6" x14ac:dyDescent="0.25">
      <c r="B5" s="287" t="s">
        <v>401</v>
      </c>
      <c r="C5" s="288"/>
      <c r="D5" s="288"/>
      <c r="E5" s="289"/>
      <c r="F5" s="211">
        <v>1000</v>
      </c>
    </row>
    <row r="6" spans="2:6" x14ac:dyDescent="0.25">
      <c r="B6" s="292" t="s">
        <v>402</v>
      </c>
      <c r="C6" s="293"/>
      <c r="D6" s="293"/>
      <c r="E6" s="294"/>
      <c r="F6" s="181">
        <v>42000000</v>
      </c>
    </row>
    <row r="8" spans="2:6" x14ac:dyDescent="0.25">
      <c r="B8" s="23" t="s">
        <v>411</v>
      </c>
      <c r="C8" s="7" t="s">
        <v>216</v>
      </c>
      <c r="D8" s="7" t="s">
        <v>217</v>
      </c>
      <c r="E8" s="7" t="s">
        <v>218</v>
      </c>
      <c r="F8" s="7" t="s">
        <v>8</v>
      </c>
    </row>
    <row r="9" spans="2:6" x14ac:dyDescent="0.25">
      <c r="B9" s="15" t="s">
        <v>219</v>
      </c>
      <c r="C9" s="156" t="s">
        <v>214</v>
      </c>
      <c r="D9" s="156" t="s">
        <v>215</v>
      </c>
      <c r="E9" s="156"/>
      <c r="F9" s="155"/>
    </row>
    <row r="10" spans="2:6" x14ac:dyDescent="0.25">
      <c r="B10" s="15" t="s">
        <v>308</v>
      </c>
      <c r="C10" s="1">
        <v>50</v>
      </c>
      <c r="D10" s="1">
        <v>50</v>
      </c>
      <c r="E10" s="156"/>
      <c r="F10" s="155"/>
    </row>
    <row r="11" spans="2:6" x14ac:dyDescent="0.25">
      <c r="B11" s="15" t="s">
        <v>220</v>
      </c>
      <c r="C11" s="158">
        <v>0.9</v>
      </c>
      <c r="D11" s="159">
        <v>0.1</v>
      </c>
      <c r="E11" s="159"/>
      <c r="F11" s="155"/>
    </row>
    <row r="12" spans="2:6" x14ac:dyDescent="0.25">
      <c r="B12" s="15" t="s">
        <v>221</v>
      </c>
      <c r="C12" s="157">
        <f>IFERROR((C11*YieldPerAcre)/C10,0)</f>
        <v>756</v>
      </c>
      <c r="D12" s="157">
        <f>IFERROR((D11*YieldPerAcre)/D10,0)</f>
        <v>84</v>
      </c>
      <c r="E12" s="157">
        <f>IFERROR((E11*YieldPerAcre)/E10,0)</f>
        <v>0</v>
      </c>
      <c r="F12" s="160"/>
    </row>
    <row r="13" spans="2:6" x14ac:dyDescent="0.25">
      <c r="B13" s="15" t="s">
        <v>222</v>
      </c>
      <c r="C13" s="19">
        <v>11.83</v>
      </c>
      <c r="D13" s="19">
        <v>9.33</v>
      </c>
      <c r="E13" s="156"/>
      <c r="F13" s="155"/>
    </row>
    <row r="14" spans="2:6" x14ac:dyDescent="0.25">
      <c r="B14" s="15" t="s">
        <v>261</v>
      </c>
      <c r="C14" s="19">
        <f>IFERROR(C13*0.1,0)</f>
        <v>1.1830000000000001</v>
      </c>
      <c r="D14" s="19">
        <f t="shared" ref="D14:E14" si="0">IFERROR(D13*0.1,0)</f>
        <v>0.93300000000000005</v>
      </c>
      <c r="E14" s="19">
        <f t="shared" si="0"/>
        <v>0</v>
      </c>
      <c r="F14" s="155"/>
    </row>
    <row r="15" spans="2:6" x14ac:dyDescent="0.25">
      <c r="B15" s="9" t="s">
        <v>336</v>
      </c>
      <c r="C15" s="162">
        <f>IFERROR(C12*(C13-C14),0)</f>
        <v>8049.1320000000005</v>
      </c>
      <c r="D15" s="162">
        <f t="shared" ref="D15:E15" si="1">IFERROR(D12*(D13-D14),0)</f>
        <v>705.34800000000007</v>
      </c>
      <c r="E15" s="162">
        <f t="shared" si="1"/>
        <v>0</v>
      </c>
      <c r="F15" s="52">
        <f>SUM(C15:E15)</f>
        <v>8754.4800000000014</v>
      </c>
    </row>
    <row r="16" spans="2:6" x14ac:dyDescent="0.25">
      <c r="B16" s="291" t="s">
        <v>309</v>
      </c>
      <c r="C16" s="291"/>
      <c r="D16" s="291"/>
      <c r="E16" s="291"/>
      <c r="F16" s="49">
        <f>GrossRevenuePerAcre/YieldPerAcre</f>
        <v>0.20844000000000004</v>
      </c>
    </row>
    <row r="18" spans="2:7" ht="30" x14ac:dyDescent="0.25">
      <c r="B18" s="6" t="s">
        <v>412</v>
      </c>
      <c r="C18" s="35" t="s">
        <v>246</v>
      </c>
      <c r="D18" s="35" t="s">
        <v>247</v>
      </c>
      <c r="E18" s="35" t="s">
        <v>248</v>
      </c>
      <c r="F18" s="35" t="s">
        <v>398</v>
      </c>
    </row>
    <row r="19" spans="2:7" x14ac:dyDescent="0.25">
      <c r="B19" s="1" t="s">
        <v>252</v>
      </c>
      <c r="C19" s="19">
        <v>3</v>
      </c>
      <c r="D19" s="19">
        <v>0.75</v>
      </c>
      <c r="E19" s="41"/>
      <c r="F19" s="151">
        <f>(C19*C$12)+(D19*D$12)+(E19*E$12)</f>
        <v>2331</v>
      </c>
    </row>
    <row r="20" spans="2:7" x14ac:dyDescent="0.25">
      <c r="B20" s="1" t="s">
        <v>245</v>
      </c>
      <c r="C20" s="19">
        <v>0.25</v>
      </c>
      <c r="D20" s="19">
        <v>0.25</v>
      </c>
      <c r="E20" s="41"/>
      <c r="F20" s="151">
        <f>(C20*C$12)+(D20*D$12)+(E20*E$12)</f>
        <v>210</v>
      </c>
    </row>
    <row r="21" spans="2:7" x14ac:dyDescent="0.25">
      <c r="B21" s="1"/>
      <c r="C21" s="19"/>
      <c r="D21" s="19"/>
      <c r="E21" s="41"/>
      <c r="F21" s="151">
        <f t="shared" ref="F21:F22" si="2">(C21*C$12)+(D21*D$12)+(E21*E$12)</f>
        <v>0</v>
      </c>
    </row>
    <row r="22" spans="2:7" x14ac:dyDescent="0.25">
      <c r="B22" s="1"/>
      <c r="C22" s="19"/>
      <c r="D22" s="19"/>
      <c r="E22" s="41"/>
      <c r="F22" s="151">
        <f t="shared" si="2"/>
        <v>0</v>
      </c>
    </row>
    <row r="23" spans="2:7" x14ac:dyDescent="0.25">
      <c r="B23" s="9" t="s">
        <v>342</v>
      </c>
      <c r="C23" s="74">
        <f>SUM(C19:C22)</f>
        <v>3.25</v>
      </c>
      <c r="D23" s="74">
        <f>SUM(D19:D22)</f>
        <v>1</v>
      </c>
      <c r="E23" s="74">
        <f>SUM(E19:E22)</f>
        <v>0</v>
      </c>
      <c r="F23" s="52">
        <f>SUM(F19:F22)</f>
        <v>2541</v>
      </c>
    </row>
    <row r="24" spans="2:7" x14ac:dyDescent="0.25">
      <c r="B24" s="291" t="s">
        <v>346</v>
      </c>
      <c r="C24" s="291"/>
      <c r="D24" s="291"/>
      <c r="E24" s="291"/>
      <c r="F24" s="142">
        <f>PackingMaterialCostPerAcre/YieldPerAcre</f>
        <v>6.0499999999999998E-2</v>
      </c>
      <c r="G24" s="188"/>
    </row>
    <row r="26" spans="2:7" ht="30" x14ac:dyDescent="0.25">
      <c r="B26" s="6" t="s">
        <v>397</v>
      </c>
      <c r="C26" s="35" t="s">
        <v>246</v>
      </c>
      <c r="D26" s="35" t="s">
        <v>247</v>
      </c>
      <c r="E26" s="35" t="s">
        <v>248</v>
      </c>
      <c r="F26" s="35" t="s">
        <v>398</v>
      </c>
    </row>
    <row r="27" spans="2:7" x14ac:dyDescent="0.25">
      <c r="B27" s="1" t="s">
        <v>250</v>
      </c>
      <c r="C27" s="19">
        <v>1</v>
      </c>
      <c r="D27" s="19">
        <v>1</v>
      </c>
      <c r="E27" s="41"/>
      <c r="F27" s="151">
        <f t="shared" ref="F27:F30" si="3">(C27*C$12)+(D27*D$12)+(E27*E$12)</f>
        <v>840</v>
      </c>
    </row>
    <row r="28" spans="2:7" x14ac:dyDescent="0.25">
      <c r="B28" s="1" t="s">
        <v>251</v>
      </c>
      <c r="C28" s="19">
        <v>1</v>
      </c>
      <c r="D28" s="19">
        <v>1</v>
      </c>
      <c r="E28" s="41"/>
      <c r="F28" s="151">
        <f t="shared" si="3"/>
        <v>840</v>
      </c>
    </row>
    <row r="29" spans="2:7" x14ac:dyDescent="0.25">
      <c r="B29" s="1" t="s">
        <v>449</v>
      </c>
      <c r="C29" s="19"/>
      <c r="D29" s="19"/>
      <c r="E29" s="19"/>
      <c r="F29" s="151">
        <v>70</v>
      </c>
    </row>
    <row r="30" spans="2:7" x14ac:dyDescent="0.25">
      <c r="B30" s="1"/>
      <c r="C30" s="19"/>
      <c r="D30" s="19"/>
      <c r="E30" s="19"/>
      <c r="F30" s="151">
        <f t="shared" si="3"/>
        <v>0</v>
      </c>
    </row>
    <row r="31" spans="2:7" x14ac:dyDescent="0.25">
      <c r="B31" s="9" t="s">
        <v>347</v>
      </c>
      <c r="C31" s="74">
        <f>SUM(C27:C30)</f>
        <v>2</v>
      </c>
      <c r="D31" s="74">
        <f>SUM(D27:D30)</f>
        <v>2</v>
      </c>
      <c r="E31" s="74">
        <f>SUM(E27:E30)</f>
        <v>0</v>
      </c>
      <c r="F31" s="52">
        <f>SUM(F27:F30)</f>
        <v>1750</v>
      </c>
    </row>
    <row r="32" spans="2:7" x14ac:dyDescent="0.25">
      <c r="B32" s="291" t="s">
        <v>348</v>
      </c>
      <c r="C32" s="291"/>
      <c r="D32" s="291"/>
      <c r="E32" s="291"/>
      <c r="F32" s="142">
        <f>VarLaborHPCostPerAcre/YieldPerAcre</f>
        <v>4.1666666666666664E-2</v>
      </c>
    </row>
    <row r="34" spans="2:10" ht="30" x14ac:dyDescent="0.25">
      <c r="B34" s="263" t="s">
        <v>429</v>
      </c>
      <c r="C34" s="264"/>
      <c r="D34" s="264"/>
      <c r="E34" s="265"/>
      <c r="F34" s="35" t="s">
        <v>399</v>
      </c>
    </row>
    <row r="35" spans="2:10" x14ac:dyDescent="0.25">
      <c r="B35" s="256" t="s">
        <v>349</v>
      </c>
      <c r="C35" s="257"/>
      <c r="D35" s="257"/>
      <c r="E35" s="258"/>
      <c r="F35" s="151">
        <v>43000</v>
      </c>
    </row>
    <row r="36" spans="2:10" x14ac:dyDescent="0.25">
      <c r="B36" s="256"/>
      <c r="C36" s="257"/>
      <c r="D36" s="257"/>
      <c r="E36" s="258"/>
      <c r="F36" s="151"/>
    </row>
    <row r="37" spans="2:10" x14ac:dyDescent="0.25">
      <c r="B37" s="256"/>
      <c r="C37" s="257"/>
      <c r="D37" s="257"/>
      <c r="E37" s="258"/>
      <c r="F37" s="151"/>
    </row>
    <row r="38" spans="2:10" x14ac:dyDescent="0.25">
      <c r="B38" s="304" t="s">
        <v>351</v>
      </c>
      <c r="C38" s="305"/>
      <c r="D38" s="305"/>
      <c r="E38" s="306"/>
      <c r="F38" s="52">
        <f>SUM(F35:F37)</f>
        <v>43000</v>
      </c>
    </row>
    <row r="39" spans="2:10" x14ac:dyDescent="0.25">
      <c r="B39" s="291" t="s">
        <v>352</v>
      </c>
      <c r="C39" s="291"/>
      <c r="D39" s="291"/>
      <c r="E39" s="291"/>
      <c r="F39" s="198">
        <f>FixedHPLaborCost/WholeFarmYield</f>
        <v>1.0238095238095238E-3</v>
      </c>
    </row>
    <row r="40" spans="2:10" x14ac:dyDescent="0.25">
      <c r="B40" s="291" t="s">
        <v>353</v>
      </c>
      <c r="C40" s="291"/>
      <c r="D40" s="291"/>
      <c r="E40" s="291"/>
      <c r="F40" s="49">
        <f>F39*YieldPerAcre</f>
        <v>43</v>
      </c>
    </row>
    <row r="42" spans="2:10" x14ac:dyDescent="0.25">
      <c r="B42" s="261" t="s">
        <v>361</v>
      </c>
      <c r="C42" s="261"/>
      <c r="D42" s="261"/>
      <c r="E42" s="261"/>
      <c r="F42" s="263"/>
      <c r="G42" s="188"/>
    </row>
    <row r="43" spans="2:10" ht="30" x14ac:dyDescent="0.25">
      <c r="B43" s="298" t="s">
        <v>350</v>
      </c>
      <c r="C43" s="299"/>
      <c r="D43" s="299"/>
      <c r="E43" s="300"/>
      <c r="F43" s="178" t="s">
        <v>399</v>
      </c>
      <c r="G43" s="189"/>
      <c r="H43" s="183"/>
      <c r="J43" s="184"/>
    </row>
    <row r="44" spans="2:10" x14ac:dyDescent="0.25">
      <c r="B44" s="301" t="s">
        <v>332</v>
      </c>
      <c r="C44" s="302"/>
      <c r="D44" s="302"/>
      <c r="E44" s="303"/>
      <c r="F44" s="180">
        <f>600000*Electric_VarCostPerKWH</f>
        <v>72000</v>
      </c>
      <c r="G44" s="188"/>
      <c r="J44" s="185"/>
    </row>
    <row r="45" spans="2:10" x14ac:dyDescent="0.25">
      <c r="B45" s="301" t="s">
        <v>333</v>
      </c>
      <c r="C45" s="302"/>
      <c r="D45" s="302"/>
      <c r="E45" s="303"/>
      <c r="F45" s="180">
        <f>5000*Propane_CostPerGal</f>
        <v>23700</v>
      </c>
      <c r="G45" s="188"/>
      <c r="J45" s="185"/>
    </row>
    <row r="46" spans="2:10" x14ac:dyDescent="0.25">
      <c r="B46" s="301" t="s">
        <v>364</v>
      </c>
      <c r="C46" s="302"/>
      <c r="D46" s="302"/>
      <c r="E46" s="303"/>
      <c r="F46" s="180">
        <f>2010*GasolineCostPerGallon</f>
        <v>6150.6</v>
      </c>
      <c r="G46" s="188"/>
      <c r="J46" s="185"/>
    </row>
    <row r="47" spans="2:10" x14ac:dyDescent="0.25">
      <c r="B47" s="301" t="s">
        <v>334</v>
      </c>
      <c r="C47" s="302"/>
      <c r="D47" s="302"/>
      <c r="E47" s="303"/>
      <c r="F47" s="180">
        <v>15000</v>
      </c>
      <c r="G47" s="188"/>
      <c r="J47" s="185"/>
    </row>
    <row r="48" spans="2:10" x14ac:dyDescent="0.25">
      <c r="B48" s="89" t="s">
        <v>335</v>
      </c>
      <c r="C48" s="190"/>
      <c r="D48" s="190"/>
      <c r="E48" s="99"/>
      <c r="F48" s="180">
        <v>6000</v>
      </c>
      <c r="G48" s="188"/>
      <c r="J48" s="185"/>
    </row>
    <row r="49" spans="2:10" x14ac:dyDescent="0.25">
      <c r="B49" s="301" t="s">
        <v>366</v>
      </c>
      <c r="C49" s="302"/>
      <c r="D49" s="302"/>
      <c r="E49" s="303"/>
      <c r="F49" s="180">
        <v>5400</v>
      </c>
      <c r="G49" s="188"/>
      <c r="J49" s="185"/>
    </row>
    <row r="50" spans="2:10" x14ac:dyDescent="0.25">
      <c r="B50" s="301" t="s">
        <v>367</v>
      </c>
      <c r="C50" s="302"/>
      <c r="D50" s="302"/>
      <c r="E50" s="303"/>
      <c r="F50" s="180">
        <v>25000</v>
      </c>
      <c r="G50" s="188"/>
      <c r="J50" s="185"/>
    </row>
    <row r="51" spans="2:10" x14ac:dyDescent="0.25">
      <c r="B51" s="301"/>
      <c r="C51" s="302"/>
      <c r="D51" s="302"/>
      <c r="E51" s="303"/>
      <c r="F51" s="180"/>
      <c r="G51" s="188"/>
      <c r="J51" s="185"/>
    </row>
    <row r="52" spans="2:10" x14ac:dyDescent="0.25">
      <c r="B52" s="301"/>
      <c r="C52" s="302"/>
      <c r="D52" s="302"/>
      <c r="E52" s="303"/>
      <c r="F52" s="180"/>
      <c r="G52" s="188"/>
      <c r="J52" s="185"/>
    </row>
    <row r="53" spans="2:10" x14ac:dyDescent="0.25">
      <c r="B53" s="304" t="s">
        <v>354</v>
      </c>
      <c r="C53" s="305"/>
      <c r="D53" s="305"/>
      <c r="E53" s="306"/>
      <c r="F53" s="204">
        <f>SUM(F44:F52)</f>
        <v>153250.6</v>
      </c>
      <c r="G53" s="188"/>
      <c r="J53" s="186"/>
    </row>
    <row r="54" spans="2:10" x14ac:dyDescent="0.25">
      <c r="B54" s="291" t="s">
        <v>355</v>
      </c>
      <c r="C54" s="291"/>
      <c r="D54" s="291"/>
      <c r="E54" s="291"/>
      <c r="F54" s="200">
        <f>F53/WholeFarmYield</f>
        <v>3.6488238095238098E-3</v>
      </c>
      <c r="G54" s="188"/>
      <c r="J54" s="187"/>
    </row>
    <row r="55" spans="2:10" x14ac:dyDescent="0.25">
      <c r="B55" s="287" t="s">
        <v>392</v>
      </c>
      <c r="C55" s="288"/>
      <c r="D55" s="288"/>
      <c r="E55" s="289"/>
      <c r="F55" s="208">
        <f>F54*YieldPerAcre</f>
        <v>153.25060000000002</v>
      </c>
      <c r="G55" s="188"/>
      <c r="J55" s="187"/>
    </row>
    <row r="56" spans="2:10" ht="30" x14ac:dyDescent="0.25">
      <c r="B56" s="201" t="s">
        <v>338</v>
      </c>
      <c r="C56" s="35" t="s">
        <v>264</v>
      </c>
      <c r="D56" s="35" t="s">
        <v>265</v>
      </c>
      <c r="E56" s="35" t="s">
        <v>266</v>
      </c>
      <c r="F56" s="35" t="s">
        <v>399</v>
      </c>
      <c r="G56" s="189"/>
      <c r="H56" s="183"/>
      <c r="J56" s="184"/>
    </row>
    <row r="57" spans="2:10" x14ac:dyDescent="0.25">
      <c r="B57" s="76" t="s">
        <v>337</v>
      </c>
      <c r="C57" s="105">
        <v>125000</v>
      </c>
      <c r="D57" s="105">
        <v>62500</v>
      </c>
      <c r="E57" s="105">
        <v>50000</v>
      </c>
      <c r="F57" s="180">
        <f>SUM(C57:E57)</f>
        <v>237500</v>
      </c>
      <c r="G57" s="188"/>
      <c r="J57" s="185"/>
    </row>
    <row r="58" spans="2:10" x14ac:dyDescent="0.25">
      <c r="B58" s="76" t="s">
        <v>260</v>
      </c>
      <c r="C58" s="105">
        <v>16000</v>
      </c>
      <c r="D58" s="105">
        <v>5600</v>
      </c>
      <c r="E58" s="105">
        <v>3200</v>
      </c>
      <c r="F58" s="180">
        <f t="shared" ref="F58:F63" si="4">SUM(C58:E58)</f>
        <v>24800</v>
      </c>
      <c r="G58" s="188"/>
      <c r="J58" s="185"/>
    </row>
    <row r="59" spans="2:10" x14ac:dyDescent="0.25">
      <c r="B59" s="76" t="s">
        <v>362</v>
      </c>
      <c r="C59" s="105">
        <v>4200</v>
      </c>
      <c r="D59" s="105">
        <v>2205</v>
      </c>
      <c r="E59" s="105">
        <v>1260</v>
      </c>
      <c r="F59" s="180">
        <f t="shared" si="4"/>
        <v>7665</v>
      </c>
      <c r="G59" s="188"/>
      <c r="J59" s="185"/>
    </row>
    <row r="60" spans="2:10" x14ac:dyDescent="0.25">
      <c r="B60" s="76" t="s">
        <v>363</v>
      </c>
      <c r="C60" s="105">
        <v>18000</v>
      </c>
      <c r="D60" s="105">
        <v>9450</v>
      </c>
      <c r="E60" s="105">
        <v>5400</v>
      </c>
      <c r="F60" s="180">
        <f t="shared" si="4"/>
        <v>32850</v>
      </c>
      <c r="G60" s="188"/>
      <c r="J60" s="185"/>
    </row>
    <row r="61" spans="2:10" x14ac:dyDescent="0.25">
      <c r="B61" s="76" t="s">
        <v>365</v>
      </c>
      <c r="C61" s="105">
        <v>6960</v>
      </c>
      <c r="D61" s="105">
        <v>4330</v>
      </c>
      <c r="E61" s="105">
        <v>3660</v>
      </c>
      <c r="F61" s="180">
        <f t="shared" si="4"/>
        <v>14950</v>
      </c>
      <c r="G61" s="188"/>
      <c r="J61" s="185"/>
    </row>
    <row r="62" spans="2:10" x14ac:dyDescent="0.25">
      <c r="B62" s="76"/>
      <c r="C62" s="105"/>
      <c r="D62" s="105"/>
      <c r="E62" s="105"/>
      <c r="F62" s="180">
        <f t="shared" si="4"/>
        <v>0</v>
      </c>
      <c r="G62" s="188"/>
      <c r="J62" s="185"/>
    </row>
    <row r="63" spans="2:10" x14ac:dyDescent="0.25">
      <c r="B63" s="76"/>
      <c r="C63" s="105"/>
      <c r="D63" s="105"/>
      <c r="E63" s="105"/>
      <c r="F63" s="180">
        <f t="shared" si="4"/>
        <v>0</v>
      </c>
      <c r="G63" s="188"/>
      <c r="J63" s="185"/>
    </row>
    <row r="64" spans="2:10" x14ac:dyDescent="0.25">
      <c r="B64" s="191" t="s">
        <v>356</v>
      </c>
      <c r="C64" s="162">
        <f>SUM(C57:C63)</f>
        <v>170160</v>
      </c>
      <c r="D64" s="162">
        <f>SUM(D57:D63)</f>
        <v>84085</v>
      </c>
      <c r="E64" s="162">
        <f>SUM(E57:E63)</f>
        <v>63520</v>
      </c>
      <c r="F64" s="192">
        <f>SUM(F57:F63)</f>
        <v>317765</v>
      </c>
      <c r="G64" s="188"/>
      <c r="J64" s="185"/>
    </row>
    <row r="65" spans="2:10" ht="30" x14ac:dyDescent="0.25">
      <c r="B65" s="310" t="s">
        <v>339</v>
      </c>
      <c r="C65" s="311"/>
      <c r="D65" s="311"/>
      <c r="E65" s="312"/>
      <c r="F65" s="212" t="s">
        <v>399</v>
      </c>
      <c r="G65" s="188"/>
      <c r="J65" s="185"/>
    </row>
    <row r="66" spans="2:10" x14ac:dyDescent="0.25">
      <c r="B66" s="301"/>
      <c r="C66" s="302"/>
      <c r="D66" s="302"/>
      <c r="E66" s="303"/>
      <c r="F66" s="180"/>
      <c r="G66" s="188"/>
      <c r="J66" s="185"/>
    </row>
    <row r="67" spans="2:10" x14ac:dyDescent="0.25">
      <c r="B67" s="301"/>
      <c r="C67" s="302"/>
      <c r="D67" s="302"/>
      <c r="E67" s="303"/>
      <c r="F67" s="180"/>
      <c r="G67" s="188"/>
      <c r="J67" s="185"/>
    </row>
    <row r="68" spans="2:10" x14ac:dyDescent="0.25">
      <c r="B68" s="301"/>
      <c r="C68" s="302"/>
      <c r="D68" s="302"/>
      <c r="E68" s="303"/>
      <c r="F68" s="180"/>
      <c r="G68" s="188"/>
      <c r="J68" s="185"/>
    </row>
    <row r="69" spans="2:10" x14ac:dyDescent="0.25">
      <c r="B69" s="313" t="s">
        <v>357</v>
      </c>
      <c r="C69" s="314"/>
      <c r="D69" s="314"/>
      <c r="E69" s="315"/>
      <c r="F69" s="192">
        <f>SUM(F66:F68)</f>
        <v>0</v>
      </c>
      <c r="G69" s="188"/>
      <c r="J69" s="185"/>
    </row>
    <row r="70" spans="2:10" x14ac:dyDescent="0.25">
      <c r="B70" s="193" t="s">
        <v>404</v>
      </c>
      <c r="C70" s="194"/>
      <c r="D70" s="194"/>
      <c r="E70" s="195"/>
      <c r="F70" s="192">
        <f>F64+F69</f>
        <v>317765</v>
      </c>
      <c r="G70" s="188"/>
      <c r="J70" s="185"/>
    </row>
    <row r="71" spans="2:10" x14ac:dyDescent="0.25">
      <c r="B71" s="307" t="s">
        <v>403</v>
      </c>
      <c r="C71" s="308"/>
      <c r="D71" s="308"/>
      <c r="E71" s="309"/>
      <c r="F71" s="205">
        <f>F70/WholeFarmYield</f>
        <v>7.5658333333333333E-3</v>
      </c>
      <c r="G71" s="188"/>
      <c r="J71" s="185"/>
    </row>
    <row r="72" spans="2:10" x14ac:dyDescent="0.25">
      <c r="B72" s="202" t="s">
        <v>393</v>
      </c>
      <c r="C72" s="203"/>
      <c r="D72" s="203"/>
      <c r="E72" s="165"/>
      <c r="F72" s="213">
        <f>F71*YieldPerAcre</f>
        <v>317.76499999999999</v>
      </c>
      <c r="G72" s="188"/>
      <c r="J72" s="185"/>
    </row>
    <row r="73" spans="2:10" x14ac:dyDescent="0.25">
      <c r="B73" s="304" t="s">
        <v>360</v>
      </c>
      <c r="C73" s="305"/>
      <c r="D73" s="305"/>
      <c r="E73" s="306"/>
      <c r="F73" s="204">
        <f>F53+F70</f>
        <v>471015.6</v>
      </c>
      <c r="G73" s="188"/>
      <c r="J73" s="186"/>
    </row>
    <row r="74" spans="2:10" x14ac:dyDescent="0.25">
      <c r="B74" s="292" t="s">
        <v>358</v>
      </c>
      <c r="C74" s="293"/>
      <c r="D74" s="293"/>
      <c r="E74" s="294"/>
      <c r="F74" s="199">
        <f>F73/WholeFarmYield</f>
        <v>1.1214657142857142E-2</v>
      </c>
      <c r="G74" s="188"/>
      <c r="J74" s="187"/>
    </row>
    <row r="75" spans="2:10" x14ac:dyDescent="0.25">
      <c r="B75" s="295" t="s">
        <v>359</v>
      </c>
      <c r="C75" s="296"/>
      <c r="D75" s="296"/>
      <c r="E75" s="297"/>
      <c r="F75" s="182">
        <f>F74*YieldPerAcre</f>
        <v>471.01559999999995</v>
      </c>
      <c r="G75" s="188"/>
    </row>
    <row r="77" spans="2:10" x14ac:dyDescent="0.25">
      <c r="B77" s="10" t="s">
        <v>394</v>
      </c>
      <c r="C77" s="10"/>
      <c r="D77" s="10"/>
      <c r="E77" s="12" t="s">
        <v>396</v>
      </c>
      <c r="F77" s="12" t="s">
        <v>395</v>
      </c>
    </row>
    <row r="78" spans="2:10" x14ac:dyDescent="0.25">
      <c r="B78" s="287" t="s">
        <v>249</v>
      </c>
      <c r="C78" s="288"/>
      <c r="D78" s="288"/>
      <c r="E78" s="49">
        <f>F78/WholeFarmVegAcres</f>
        <v>20</v>
      </c>
      <c r="F78" s="151">
        <v>20000</v>
      </c>
    </row>
    <row r="79" spans="2:10" x14ac:dyDescent="0.25">
      <c r="B79" s="15" t="s">
        <v>416</v>
      </c>
      <c r="C79" s="209" t="s">
        <v>400</v>
      </c>
      <c r="D79" s="210">
        <v>0.6</v>
      </c>
      <c r="E79" s="19">
        <v>39</v>
      </c>
      <c r="F79" s="207"/>
    </row>
  </sheetData>
  <mergeCells count="38">
    <mergeCell ref="B71:E71"/>
    <mergeCell ref="B73:E73"/>
    <mergeCell ref="B51:E51"/>
    <mergeCell ref="B67:E67"/>
    <mergeCell ref="B68:E68"/>
    <mergeCell ref="B53:E53"/>
    <mergeCell ref="B65:E65"/>
    <mergeCell ref="B66:E66"/>
    <mergeCell ref="B69:E69"/>
    <mergeCell ref="B54:E54"/>
    <mergeCell ref="B55:E55"/>
    <mergeCell ref="B49:E49"/>
    <mergeCell ref="B50:E50"/>
    <mergeCell ref="B32:E32"/>
    <mergeCell ref="B39:E39"/>
    <mergeCell ref="B35:E35"/>
    <mergeCell ref="B36:E36"/>
    <mergeCell ref="B37:E37"/>
    <mergeCell ref="B34:E34"/>
    <mergeCell ref="B38:E38"/>
    <mergeCell ref="B40:E40"/>
    <mergeCell ref="B42:F42"/>
    <mergeCell ref="B78:D78"/>
    <mergeCell ref="B5:E5"/>
    <mergeCell ref="B1:F1"/>
    <mergeCell ref="B3:F3"/>
    <mergeCell ref="B4:E4"/>
    <mergeCell ref="B16:E16"/>
    <mergeCell ref="B24:E24"/>
    <mergeCell ref="B6:E6"/>
    <mergeCell ref="B75:E75"/>
    <mergeCell ref="B74:E74"/>
    <mergeCell ref="B43:E43"/>
    <mergeCell ref="B44:E44"/>
    <mergeCell ref="B45:E45"/>
    <mergeCell ref="B46:E46"/>
    <mergeCell ref="B47:E47"/>
    <mergeCell ref="B52:E52"/>
  </mergeCells>
  <pageMargins left="0.7" right="0.7" top="0.75" bottom="0.75" header="0.3" footer="0.3"/>
  <ignoredErrors>
    <ignoredError sqref="C15:E15 C64:F64 F69 F57:F59 F60:F63 F70:F72 F44:F4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K53"/>
  <sheetViews>
    <sheetView showGridLines="0" zoomScale="120" zoomScaleNormal="120" workbookViewId="0"/>
  </sheetViews>
  <sheetFormatPr defaultColWidth="8.85546875" defaultRowHeight="15" x14ac:dyDescent="0.25"/>
  <cols>
    <col min="1" max="1" width="4.7109375" style="16" customWidth="1"/>
    <col min="2" max="2" width="33.7109375" style="16" customWidth="1"/>
    <col min="3" max="3" width="32.7109375" style="16" customWidth="1"/>
    <col min="4" max="4" width="13.28515625" style="16" customWidth="1"/>
    <col min="5" max="5" width="14.7109375" style="16" customWidth="1"/>
    <col min="6" max="6" width="11.7109375" style="16" customWidth="1"/>
    <col min="7" max="7" width="13.140625" style="16" customWidth="1"/>
    <col min="8" max="16384" width="8.85546875" style="16"/>
  </cols>
  <sheetData>
    <row r="1" spans="2:9" ht="19.5" thickBot="1" x14ac:dyDescent="0.35">
      <c r="B1" s="290" t="s">
        <v>319</v>
      </c>
      <c r="C1" s="290"/>
      <c r="D1" s="290"/>
      <c r="E1" s="290"/>
      <c r="F1" s="290"/>
      <c r="G1" s="290"/>
    </row>
    <row r="3" spans="2:9" ht="30" x14ac:dyDescent="0.25">
      <c r="B3" s="23" t="s">
        <v>223</v>
      </c>
      <c r="C3" s="24" t="s">
        <v>9</v>
      </c>
      <c r="D3" s="75" t="s">
        <v>56</v>
      </c>
      <c r="E3" s="25" t="s">
        <v>57</v>
      </c>
      <c r="F3" s="25" t="s">
        <v>58</v>
      </c>
      <c r="G3" s="26" t="s">
        <v>12</v>
      </c>
    </row>
    <row r="4" spans="2:9" x14ac:dyDescent="0.25">
      <c r="B4" s="76" t="s">
        <v>224</v>
      </c>
      <c r="C4" s="76" t="s">
        <v>228</v>
      </c>
      <c r="D4" s="119" t="s">
        <v>105</v>
      </c>
      <c r="E4" s="77">
        <v>7.5</v>
      </c>
      <c r="F4" s="76">
        <v>21.33</v>
      </c>
      <c r="G4" s="49">
        <f>IFERROR(E4*F4,"")</f>
        <v>159.97499999999999</v>
      </c>
    </row>
    <row r="5" spans="2:9" x14ac:dyDescent="0.25">
      <c r="B5" s="76" t="s">
        <v>225</v>
      </c>
      <c r="C5" s="76" t="s">
        <v>226</v>
      </c>
      <c r="D5" s="119" t="s">
        <v>227</v>
      </c>
      <c r="E5" s="77">
        <v>23</v>
      </c>
      <c r="F5" s="76">
        <v>18.55</v>
      </c>
      <c r="G5" s="49">
        <f t="shared" ref="G5:G6" si="0">IFERROR(E5*F5,"")</f>
        <v>426.65000000000003</v>
      </c>
    </row>
    <row r="6" spans="2:9" x14ac:dyDescent="0.25">
      <c r="B6" s="76"/>
      <c r="C6" s="76"/>
      <c r="D6" s="119"/>
      <c r="E6" s="77"/>
      <c r="F6" s="76"/>
      <c r="G6" s="49">
        <f t="shared" si="0"/>
        <v>0</v>
      </c>
    </row>
    <row r="7" spans="2:9" x14ac:dyDescent="0.25">
      <c r="B7" s="304" t="s">
        <v>8</v>
      </c>
      <c r="C7" s="305"/>
      <c r="D7" s="305"/>
      <c r="E7" s="305"/>
      <c r="F7" s="305"/>
      <c r="G7" s="74">
        <f>SUM(G4:G6)</f>
        <v>586.625</v>
      </c>
    </row>
    <row r="9" spans="2:9" ht="45" x14ac:dyDescent="0.25">
      <c r="B9" s="23" t="s">
        <v>13</v>
      </c>
      <c r="C9" s="27" t="s">
        <v>9</v>
      </c>
      <c r="D9" s="75" t="s">
        <v>10</v>
      </c>
      <c r="E9" s="25" t="s">
        <v>11</v>
      </c>
      <c r="F9" s="25" t="s">
        <v>58</v>
      </c>
      <c r="G9" s="26" t="s">
        <v>12</v>
      </c>
    </row>
    <row r="10" spans="2:9" x14ac:dyDescent="0.25">
      <c r="B10" s="76" t="s">
        <v>299</v>
      </c>
      <c r="C10" s="76" t="s">
        <v>304</v>
      </c>
      <c r="D10" s="119" t="s">
        <v>104</v>
      </c>
      <c r="E10" s="77">
        <v>45</v>
      </c>
      <c r="F10" s="76">
        <v>0.75</v>
      </c>
      <c r="G10" s="49">
        <f t="shared" ref="G10:G21" si="1">IFERROR(E10*F10,"")</f>
        <v>33.75</v>
      </c>
      <c r="I10" s="16" t="s">
        <v>414</v>
      </c>
    </row>
    <row r="11" spans="2:9" x14ac:dyDescent="0.25">
      <c r="B11" s="76" t="s">
        <v>230</v>
      </c>
      <c r="C11" s="76" t="s">
        <v>305</v>
      </c>
      <c r="D11" s="119" t="s">
        <v>104</v>
      </c>
      <c r="E11" s="77">
        <v>86</v>
      </c>
      <c r="F11" s="76">
        <v>0.75</v>
      </c>
      <c r="G11" s="49">
        <f t="shared" si="1"/>
        <v>64.5</v>
      </c>
      <c r="I11" s="16" t="s">
        <v>414</v>
      </c>
    </row>
    <row r="12" spans="2:9" x14ac:dyDescent="0.25">
      <c r="B12" s="76" t="s">
        <v>302</v>
      </c>
      <c r="C12" s="161" t="s">
        <v>303</v>
      </c>
      <c r="D12" s="119" t="s">
        <v>104</v>
      </c>
      <c r="E12" s="77">
        <v>575</v>
      </c>
      <c r="F12" s="100">
        <v>0.5</v>
      </c>
      <c r="G12" s="49">
        <f t="shared" si="1"/>
        <v>287.5</v>
      </c>
      <c r="I12" s="16" t="s">
        <v>256</v>
      </c>
    </row>
    <row r="13" spans="2:9" x14ac:dyDescent="0.25">
      <c r="B13" s="76" t="s">
        <v>300</v>
      </c>
      <c r="C13" s="76" t="s">
        <v>301</v>
      </c>
      <c r="D13" s="119" t="s">
        <v>104</v>
      </c>
      <c r="E13" s="77">
        <v>423</v>
      </c>
      <c r="F13" s="76">
        <v>0.22</v>
      </c>
      <c r="G13" s="49">
        <f t="shared" si="1"/>
        <v>93.06</v>
      </c>
      <c r="I13" s="16" t="s">
        <v>415</v>
      </c>
    </row>
    <row r="14" spans="2:9" x14ac:dyDescent="0.25">
      <c r="B14" s="76"/>
      <c r="C14" s="76"/>
      <c r="D14" s="119"/>
      <c r="E14" s="77"/>
      <c r="F14" s="76"/>
      <c r="G14" s="49">
        <f t="shared" si="1"/>
        <v>0</v>
      </c>
    </row>
    <row r="15" spans="2:9" x14ac:dyDescent="0.25">
      <c r="B15" s="76"/>
      <c r="C15" s="76"/>
      <c r="D15" s="119"/>
      <c r="E15" s="77"/>
      <c r="F15" s="76"/>
      <c r="G15" s="49">
        <f t="shared" si="1"/>
        <v>0</v>
      </c>
    </row>
    <row r="16" spans="2:9" x14ac:dyDescent="0.25">
      <c r="B16" s="76"/>
      <c r="C16" s="76"/>
      <c r="D16" s="119"/>
      <c r="E16" s="77"/>
      <c r="F16" s="76"/>
      <c r="G16" s="49">
        <f t="shared" si="1"/>
        <v>0</v>
      </c>
    </row>
    <row r="17" spans="2:11" x14ac:dyDescent="0.25">
      <c r="B17" s="76"/>
      <c r="C17" s="76"/>
      <c r="D17" s="119"/>
      <c r="E17" s="77"/>
      <c r="F17" s="76"/>
      <c r="G17" s="49">
        <f t="shared" si="1"/>
        <v>0</v>
      </c>
    </row>
    <row r="18" spans="2:11" x14ac:dyDescent="0.25">
      <c r="B18" s="76"/>
      <c r="C18" s="76"/>
      <c r="D18" s="119"/>
      <c r="E18" s="77"/>
      <c r="F18" s="76"/>
      <c r="G18" s="49">
        <f t="shared" si="1"/>
        <v>0</v>
      </c>
    </row>
    <row r="19" spans="2:11" x14ac:dyDescent="0.25">
      <c r="B19" s="76"/>
      <c r="C19" s="76"/>
      <c r="D19" s="119"/>
      <c r="E19" s="77"/>
      <c r="F19" s="76"/>
      <c r="G19" s="49">
        <f t="shared" si="1"/>
        <v>0</v>
      </c>
    </row>
    <row r="20" spans="2:11" x14ac:dyDescent="0.25">
      <c r="B20" s="76"/>
      <c r="C20" s="76"/>
      <c r="D20" s="119"/>
      <c r="E20" s="77"/>
      <c r="F20" s="76"/>
      <c r="G20" s="49">
        <f t="shared" si="1"/>
        <v>0</v>
      </c>
    </row>
    <row r="21" spans="2:11" x14ac:dyDescent="0.25">
      <c r="B21" s="76"/>
      <c r="C21" s="76"/>
      <c r="D21" s="119"/>
      <c r="E21" s="77"/>
      <c r="F21" s="76"/>
      <c r="G21" s="49">
        <f t="shared" si="1"/>
        <v>0</v>
      </c>
    </row>
    <row r="22" spans="2:11" x14ac:dyDescent="0.25">
      <c r="B22" s="304" t="s">
        <v>8</v>
      </c>
      <c r="C22" s="305"/>
      <c r="D22" s="305"/>
      <c r="E22" s="305"/>
      <c r="F22" s="305"/>
      <c r="G22" s="74">
        <f>SUM(G10:G21)</f>
        <v>478.81</v>
      </c>
    </row>
    <row r="24" spans="2:11" ht="45" x14ac:dyDescent="0.25">
      <c r="B24" s="23" t="s">
        <v>229</v>
      </c>
      <c r="C24" s="27" t="s">
        <v>14</v>
      </c>
      <c r="D24" s="75" t="s">
        <v>10</v>
      </c>
      <c r="E24" s="25" t="s">
        <v>11</v>
      </c>
      <c r="F24" s="25" t="s">
        <v>58</v>
      </c>
      <c r="G24" s="26" t="s">
        <v>12</v>
      </c>
      <c r="I24" s="16" t="s">
        <v>447</v>
      </c>
    </row>
    <row r="25" spans="2:11" x14ac:dyDescent="0.25">
      <c r="B25" s="76" t="s">
        <v>236</v>
      </c>
      <c r="C25" s="76" t="s">
        <v>231</v>
      </c>
      <c r="D25" s="119" t="s">
        <v>109</v>
      </c>
      <c r="E25" s="77">
        <v>16.059999999999999</v>
      </c>
      <c r="F25" s="76">
        <v>0.6</v>
      </c>
      <c r="G25" s="49">
        <f t="shared" ref="G25:G35" si="2">IFERROR(E25*F25,"")</f>
        <v>9.6359999999999992</v>
      </c>
      <c r="I25" s="16" t="s">
        <v>240</v>
      </c>
      <c r="K25" s="16" t="s">
        <v>257</v>
      </c>
    </row>
    <row r="26" spans="2:11" x14ac:dyDescent="0.25">
      <c r="B26" s="76" t="s">
        <v>237</v>
      </c>
      <c r="C26" s="76" t="s">
        <v>232</v>
      </c>
      <c r="D26" s="119" t="s">
        <v>107</v>
      </c>
      <c r="E26" s="77">
        <v>17.489999999999998</v>
      </c>
      <c r="F26" s="76">
        <v>3</v>
      </c>
      <c r="G26" s="49">
        <f t="shared" si="2"/>
        <v>52.47</v>
      </c>
      <c r="I26" s="16" t="s">
        <v>240</v>
      </c>
      <c r="K26" s="16" t="s">
        <v>257</v>
      </c>
    </row>
    <row r="27" spans="2:11" x14ac:dyDescent="0.25">
      <c r="B27" s="76" t="s">
        <v>426</v>
      </c>
      <c r="C27" s="76" t="s">
        <v>427</v>
      </c>
      <c r="D27" s="119" t="s">
        <v>108</v>
      </c>
      <c r="E27" s="77">
        <v>9.2100000000000009</v>
      </c>
      <c r="F27" s="76">
        <v>20</v>
      </c>
      <c r="G27" s="49">
        <f t="shared" si="2"/>
        <v>184.20000000000002</v>
      </c>
      <c r="I27" s="16" t="s">
        <v>240</v>
      </c>
      <c r="K27" s="16" t="s">
        <v>257</v>
      </c>
    </row>
    <row r="28" spans="2:11" x14ac:dyDescent="0.25">
      <c r="B28" s="76" t="s">
        <v>238</v>
      </c>
      <c r="C28" s="76" t="s">
        <v>233</v>
      </c>
      <c r="D28" s="119" t="s">
        <v>109</v>
      </c>
      <c r="E28" s="77">
        <v>2.92</v>
      </c>
      <c r="F28" s="76">
        <v>6</v>
      </c>
      <c r="G28" s="49">
        <f t="shared" si="2"/>
        <v>17.52</v>
      </c>
      <c r="I28" s="16" t="s">
        <v>241</v>
      </c>
      <c r="K28" s="16" t="s">
        <v>256</v>
      </c>
    </row>
    <row r="29" spans="2:11" x14ac:dyDescent="0.25">
      <c r="B29" s="76" t="s">
        <v>239</v>
      </c>
      <c r="C29" s="76" t="s">
        <v>234</v>
      </c>
      <c r="D29" s="119" t="s">
        <v>110</v>
      </c>
      <c r="E29" s="77">
        <v>0.51</v>
      </c>
      <c r="F29" s="76">
        <v>40</v>
      </c>
      <c r="G29" s="49">
        <f t="shared" si="2"/>
        <v>20.399999999999999</v>
      </c>
      <c r="I29" s="16" t="s">
        <v>241</v>
      </c>
      <c r="K29" s="16" t="s">
        <v>256</v>
      </c>
    </row>
    <row r="30" spans="2:11" x14ac:dyDescent="0.25">
      <c r="B30" s="76" t="s">
        <v>242</v>
      </c>
      <c r="C30" s="76" t="s">
        <v>235</v>
      </c>
      <c r="D30" s="119" t="s">
        <v>110</v>
      </c>
      <c r="E30" s="77">
        <v>8.11</v>
      </c>
      <c r="F30" s="76">
        <v>5</v>
      </c>
      <c r="G30" s="49">
        <f t="shared" si="2"/>
        <v>40.549999999999997</v>
      </c>
      <c r="I30" s="16" t="s">
        <v>240</v>
      </c>
      <c r="K30" s="16" t="s">
        <v>423</v>
      </c>
    </row>
    <row r="31" spans="2:11" x14ac:dyDescent="0.25">
      <c r="B31" s="76" t="s">
        <v>420</v>
      </c>
      <c r="C31" s="76" t="s">
        <v>422</v>
      </c>
      <c r="D31" s="119" t="s">
        <v>110</v>
      </c>
      <c r="E31" s="77">
        <v>1.1299999999999999</v>
      </c>
      <c r="F31" s="76">
        <v>3.5</v>
      </c>
      <c r="G31" s="49">
        <f t="shared" si="2"/>
        <v>3.9549999999999996</v>
      </c>
      <c r="I31" s="16" t="s">
        <v>240</v>
      </c>
      <c r="K31" s="16" t="s">
        <v>424</v>
      </c>
    </row>
    <row r="32" spans="2:11" x14ac:dyDescent="0.25">
      <c r="B32" s="76" t="s">
        <v>243</v>
      </c>
      <c r="C32" s="76" t="s">
        <v>112</v>
      </c>
      <c r="D32" s="119" t="s">
        <v>106</v>
      </c>
      <c r="E32" s="77">
        <v>13.45</v>
      </c>
      <c r="F32" s="76">
        <v>1</v>
      </c>
      <c r="G32" s="49">
        <f t="shared" si="2"/>
        <v>13.45</v>
      </c>
      <c r="I32" s="16" t="s">
        <v>240</v>
      </c>
      <c r="K32" s="16" t="s">
        <v>423</v>
      </c>
    </row>
    <row r="33" spans="2:11" x14ac:dyDescent="0.25">
      <c r="B33" s="76" t="s">
        <v>244</v>
      </c>
      <c r="C33" s="76" t="s">
        <v>112</v>
      </c>
      <c r="D33" s="119" t="s">
        <v>106</v>
      </c>
      <c r="E33" s="77">
        <v>18.5</v>
      </c>
      <c r="F33" s="76">
        <v>1</v>
      </c>
      <c r="G33" s="49">
        <f t="shared" si="2"/>
        <v>18.5</v>
      </c>
      <c r="I33" s="16" t="s">
        <v>240</v>
      </c>
      <c r="K33" s="16" t="s">
        <v>425</v>
      </c>
    </row>
    <row r="34" spans="2:11" x14ac:dyDescent="0.25">
      <c r="B34" s="76"/>
      <c r="C34" s="76"/>
      <c r="D34" s="119"/>
      <c r="E34" s="77"/>
      <c r="F34" s="76"/>
      <c r="G34" s="49">
        <f t="shared" si="2"/>
        <v>0</v>
      </c>
    </row>
    <row r="35" spans="2:11" x14ac:dyDescent="0.25">
      <c r="B35" s="76"/>
      <c r="C35" s="76"/>
      <c r="D35" s="119"/>
      <c r="E35" s="77"/>
      <c r="F35" s="76"/>
      <c r="G35" s="49">
        <f t="shared" si="2"/>
        <v>0</v>
      </c>
    </row>
    <row r="36" spans="2:11" x14ac:dyDescent="0.25">
      <c r="B36" s="304" t="s">
        <v>8</v>
      </c>
      <c r="C36" s="305"/>
      <c r="D36" s="305"/>
      <c r="E36" s="305"/>
      <c r="F36" s="305"/>
      <c r="G36" s="74">
        <f>SUM(G25:G35)</f>
        <v>360.68099999999998</v>
      </c>
    </row>
    <row r="38" spans="2:11" ht="45" x14ac:dyDescent="0.25">
      <c r="B38" s="23" t="s">
        <v>15</v>
      </c>
      <c r="C38" s="27" t="s">
        <v>9</v>
      </c>
      <c r="D38" s="75" t="s">
        <v>10</v>
      </c>
      <c r="E38" s="25" t="s">
        <v>11</v>
      </c>
      <c r="F38" s="25" t="s">
        <v>58</v>
      </c>
      <c r="G38" s="26" t="s">
        <v>12</v>
      </c>
    </row>
    <row r="39" spans="2:11" x14ac:dyDescent="0.25">
      <c r="B39" s="76" t="s">
        <v>16</v>
      </c>
      <c r="C39" s="76" t="s">
        <v>306</v>
      </c>
      <c r="D39" s="119" t="s">
        <v>109</v>
      </c>
      <c r="E39" s="77">
        <v>2.41</v>
      </c>
      <c r="F39" s="76">
        <v>3</v>
      </c>
      <c r="G39" s="49">
        <f t="shared" ref="G39:G43" si="3">IFERROR(E39*F39,"")</f>
        <v>7.23</v>
      </c>
    </row>
    <row r="40" spans="2:11" x14ac:dyDescent="0.25">
      <c r="B40" s="76" t="s">
        <v>268</v>
      </c>
      <c r="C40" s="76" t="s">
        <v>421</v>
      </c>
      <c r="D40" s="119" t="s">
        <v>111</v>
      </c>
      <c r="E40" s="77">
        <v>1.45</v>
      </c>
      <c r="F40" s="76">
        <v>30</v>
      </c>
      <c r="G40" s="49">
        <f t="shared" si="3"/>
        <v>43.5</v>
      </c>
    </row>
    <row r="41" spans="2:11" x14ac:dyDescent="0.25">
      <c r="B41" s="76"/>
      <c r="C41" s="76"/>
      <c r="D41" s="119"/>
      <c r="E41" s="77"/>
      <c r="F41" s="76"/>
      <c r="G41" s="49">
        <f t="shared" si="3"/>
        <v>0</v>
      </c>
    </row>
    <row r="42" spans="2:11" x14ac:dyDescent="0.25">
      <c r="B42" s="76"/>
      <c r="C42" s="76"/>
      <c r="D42" s="119"/>
      <c r="E42" s="77"/>
      <c r="F42" s="76"/>
      <c r="G42" s="49">
        <f t="shared" si="3"/>
        <v>0</v>
      </c>
    </row>
    <row r="43" spans="2:11" x14ac:dyDescent="0.25">
      <c r="B43" s="76"/>
      <c r="C43" s="76"/>
      <c r="D43" s="119"/>
      <c r="E43" s="77"/>
      <c r="F43" s="76"/>
      <c r="G43" s="49">
        <f t="shared" si="3"/>
        <v>0</v>
      </c>
    </row>
    <row r="44" spans="2:11" x14ac:dyDescent="0.25">
      <c r="B44" s="304" t="s">
        <v>8</v>
      </c>
      <c r="C44" s="305"/>
      <c r="D44" s="305"/>
      <c r="E44" s="305"/>
      <c r="F44" s="305"/>
      <c r="G44" s="74">
        <f>SUM(G39:G43)</f>
        <v>50.730000000000004</v>
      </c>
    </row>
    <row r="46" spans="2:11" x14ac:dyDescent="0.25">
      <c r="B46" s="22"/>
      <c r="C46" s="22"/>
      <c r="D46" s="22"/>
      <c r="E46" s="22"/>
      <c r="F46" s="22"/>
      <c r="G46" s="22"/>
    </row>
    <row r="47" spans="2:11" x14ac:dyDescent="0.25">
      <c r="B47" s="22"/>
      <c r="C47" s="22"/>
      <c r="D47" s="22"/>
      <c r="E47" s="22"/>
      <c r="F47" s="22"/>
      <c r="G47" s="22"/>
    </row>
    <row r="48" spans="2:11" x14ac:dyDescent="0.25">
      <c r="B48" s="22"/>
      <c r="C48" s="22"/>
      <c r="D48" s="22"/>
      <c r="E48" s="22"/>
      <c r="F48" s="22"/>
      <c r="G48" s="22"/>
    </row>
    <row r="49" spans="2:7" x14ac:dyDescent="0.25">
      <c r="B49" s="22"/>
      <c r="C49" s="22"/>
      <c r="D49" s="22"/>
      <c r="E49" s="22"/>
      <c r="F49" s="22"/>
      <c r="G49" s="22"/>
    </row>
    <row r="50" spans="2:7" x14ac:dyDescent="0.25">
      <c r="B50" s="22"/>
      <c r="C50" s="22"/>
      <c r="D50" s="22"/>
      <c r="E50" s="22"/>
      <c r="F50" s="22"/>
      <c r="G50" s="22"/>
    </row>
    <row r="51" spans="2:7" x14ac:dyDescent="0.25">
      <c r="B51" s="22"/>
      <c r="C51" s="22"/>
      <c r="D51" s="22"/>
      <c r="E51" s="22"/>
      <c r="F51" s="22"/>
      <c r="G51" s="22"/>
    </row>
    <row r="52" spans="2:7" x14ac:dyDescent="0.25">
      <c r="B52" s="22"/>
      <c r="C52" s="22"/>
      <c r="D52" s="22"/>
      <c r="E52" s="22"/>
      <c r="F52" s="22"/>
      <c r="G52" s="22"/>
    </row>
    <row r="53" spans="2:7" x14ac:dyDescent="0.25">
      <c r="B53" s="22"/>
      <c r="C53" s="22"/>
      <c r="D53" s="22"/>
      <c r="E53" s="22"/>
      <c r="F53" s="22"/>
      <c r="G53" s="22"/>
    </row>
  </sheetData>
  <mergeCells count="5">
    <mergeCell ref="B1:G1"/>
    <mergeCell ref="B22:F22"/>
    <mergeCell ref="B7:F7"/>
    <mergeCell ref="B36:F36"/>
    <mergeCell ref="B44:F4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73"/>
  <sheetViews>
    <sheetView showGridLines="0" topLeftCell="A54" zoomScaleNormal="100" workbookViewId="0">
      <selection activeCell="H73" sqref="H73"/>
    </sheetView>
  </sheetViews>
  <sheetFormatPr defaultColWidth="8.85546875" defaultRowHeight="15" x14ac:dyDescent="0.25"/>
  <cols>
    <col min="1" max="1" width="4.7109375" style="16" customWidth="1"/>
    <col min="2" max="2" width="35" style="16" customWidth="1"/>
    <col min="3" max="3" width="32.7109375" style="16" customWidth="1"/>
    <col min="4" max="4" width="58" style="16" customWidth="1"/>
    <col min="5" max="6" width="12.7109375" style="16" customWidth="1"/>
    <col min="7" max="7" width="21.7109375" style="16" bestFit="1" customWidth="1"/>
    <col min="8" max="11" width="11.7109375" style="16" customWidth="1"/>
    <col min="12" max="13" width="8.85546875" style="16"/>
    <col min="14" max="14" width="16.7109375" style="16" customWidth="1"/>
    <col min="15" max="16384" width="8.85546875" style="16"/>
  </cols>
  <sheetData>
    <row r="1" spans="1:14" ht="19.5" thickBot="1" x14ac:dyDescent="0.35">
      <c r="B1" s="290" t="s">
        <v>372</v>
      </c>
      <c r="C1" s="290"/>
      <c r="D1" s="290"/>
      <c r="E1" s="290"/>
      <c r="F1" s="290"/>
      <c r="G1" s="290"/>
      <c r="H1" s="290"/>
      <c r="I1" s="290"/>
      <c r="J1" s="290"/>
      <c r="K1" s="290"/>
      <c r="L1" s="290"/>
      <c r="M1" s="290"/>
      <c r="N1" s="290"/>
    </row>
    <row r="3" spans="1:14" x14ac:dyDescent="0.25">
      <c r="B3" s="325" t="s">
        <v>36</v>
      </c>
      <c r="C3" s="326"/>
      <c r="D3" s="326"/>
      <c r="E3" s="326"/>
      <c r="F3" s="326"/>
      <c r="G3" s="326"/>
      <c r="H3" s="326"/>
      <c r="I3" s="326"/>
      <c r="J3" s="326"/>
      <c r="K3" s="326"/>
      <c r="L3" s="326"/>
      <c r="M3" s="327"/>
      <c r="N3" s="167"/>
    </row>
    <row r="4" spans="1:14" ht="45" x14ac:dyDescent="0.25">
      <c r="B4" s="263" t="s">
        <v>37</v>
      </c>
      <c r="C4" s="264"/>
      <c r="D4" s="265"/>
      <c r="E4" s="35" t="s">
        <v>38</v>
      </c>
      <c r="F4" s="35" t="s">
        <v>39</v>
      </c>
      <c r="G4" s="36" t="s">
        <v>21</v>
      </c>
      <c r="H4" s="34" t="s">
        <v>40</v>
      </c>
      <c r="I4" s="35" t="s">
        <v>41</v>
      </c>
      <c r="J4" s="35" t="s">
        <v>42</v>
      </c>
      <c r="K4" s="36" t="s">
        <v>43</v>
      </c>
      <c r="L4" s="34" t="s">
        <v>44</v>
      </c>
      <c r="M4" s="35" t="s">
        <v>27</v>
      </c>
      <c r="N4" s="168"/>
    </row>
    <row r="5" spans="1:14" x14ac:dyDescent="0.25">
      <c r="B5" s="301" t="s">
        <v>276</v>
      </c>
      <c r="C5" s="302"/>
      <c r="D5" s="303"/>
      <c r="E5" s="100">
        <v>2</v>
      </c>
      <c r="F5" s="76">
        <v>1.5</v>
      </c>
      <c r="G5" s="89" t="s">
        <v>45</v>
      </c>
      <c r="H5" s="90">
        <f>IFERROR(VLOOKUP(G5,LaborTable[],4,0)*F5/FieldAcres_Planted,"")</f>
        <v>0.68264999999999998</v>
      </c>
      <c r="I5" s="80">
        <f>IFERROR(IrrigPowerCostPerAcreInch*E5,"")</f>
        <v>4.6172399999999998</v>
      </c>
      <c r="J5" s="80">
        <f>IFERROR(IrrigRMCostPerAcreInch*E5,"")</f>
        <v>0.6</v>
      </c>
      <c r="K5" s="91">
        <f>SUM(H5:J5)</f>
        <v>5.8998899999999992</v>
      </c>
      <c r="L5" s="92">
        <v>5</v>
      </c>
      <c r="M5" s="80">
        <f>K5*L5</f>
        <v>29.499449999999996</v>
      </c>
      <c r="N5" s="169"/>
    </row>
    <row r="6" spans="1:14" x14ac:dyDescent="0.25">
      <c r="B6" s="301"/>
      <c r="C6" s="302"/>
      <c r="D6" s="303"/>
      <c r="E6" s="100"/>
      <c r="F6" s="76"/>
      <c r="G6" s="89"/>
      <c r="H6" s="90" t="str">
        <f>IFERROR(VLOOKUP(G6,LaborTable[],4,0)*F6/FieldAcres_Planted,"")</f>
        <v/>
      </c>
      <c r="I6" s="80">
        <f>IFERROR(IF(IrrigPowerType="Diesel",INDEX(IrrigDieselUseTable,MATCH(IrrigWellDepth,IrrigDieselLiftFeet,0),MATCH(IrrigPumpPressure,IrrigDieselPSI,0))*DieselOR_CostPerGal*E6,INDEX(IrrigElectricUseTable,MATCH(IrrigWellDepth,IrrigElectricLiftFeet,0),MATCH(IrrigPumpPressure,IrrigElectricPSI,0))*Electric_VarCostPerKWH*E6),"")</f>
        <v>0</v>
      </c>
      <c r="J6" s="80">
        <f>IFERROR(IrrigRMCostPerAcreInch*E6,"")</f>
        <v>0</v>
      </c>
      <c r="K6" s="91">
        <f t="shared" ref="K6:K7" si="0">SUM(H6:J6)</f>
        <v>0</v>
      </c>
      <c r="L6" s="92"/>
      <c r="M6" s="80">
        <f t="shared" ref="M6:M7" si="1">K6*L6</f>
        <v>0</v>
      </c>
      <c r="N6" s="169"/>
    </row>
    <row r="7" spans="1:14" ht="15.75" thickBot="1" x14ac:dyDescent="0.3">
      <c r="B7" s="317"/>
      <c r="C7" s="318"/>
      <c r="D7" s="319"/>
      <c r="E7" s="101"/>
      <c r="F7" s="93"/>
      <c r="G7" s="94"/>
      <c r="H7" s="95" t="str">
        <f>IFERROR(VLOOKUP(G7,LaborTable[],4,0)*F7/FieldAcres_Planted,"")</f>
        <v/>
      </c>
      <c r="I7" s="96">
        <f>IFERROR(IF(IrrigPowerType="Diesel",INDEX(IrrigDieselUseTable,MATCH(IrrigWellDepth,IrrigDieselLiftFeet,0),MATCH(IrrigPumpPressure,IrrigDieselPSI,0))*DieselOR_CostPerGal*E7,INDEX(IrrigElectricUseTable,MATCH(IrrigWellDepth,IrrigElectricLiftFeet,0),MATCH(IrrigPumpPressure,IrrigElectricPSI,0))*Electric_VarCostPerKWH*E7),"")</f>
        <v>0</v>
      </c>
      <c r="J7" s="96">
        <f>IFERROR(IrrigRMCostPerAcreInch*E7,"")</f>
        <v>0</v>
      </c>
      <c r="K7" s="97">
        <f t="shared" si="0"/>
        <v>0</v>
      </c>
      <c r="L7" s="98"/>
      <c r="M7" s="96">
        <f t="shared" si="1"/>
        <v>0</v>
      </c>
      <c r="N7" s="169"/>
    </row>
    <row r="8" spans="1:14" x14ac:dyDescent="0.25">
      <c r="B8" s="320" t="s">
        <v>46</v>
      </c>
      <c r="C8" s="321"/>
      <c r="D8" s="322"/>
      <c r="E8" s="86">
        <f>SUMPRODUCT(E5:E7,$L5:$L7)</f>
        <v>10</v>
      </c>
      <c r="F8" s="86">
        <f>SUMPRODUCT(F5:F7,$L5:$L7)</f>
        <v>7.5</v>
      </c>
      <c r="G8" s="82"/>
      <c r="H8" s="83">
        <f>SUMPRODUCT(H5:H7,$L5:$L7)</f>
        <v>3.4132499999999997</v>
      </c>
      <c r="I8" s="84">
        <f>SUMPRODUCT(I5:I7,$L5:$L7)</f>
        <v>23.086199999999998</v>
      </c>
      <c r="J8" s="84">
        <f>SUMPRODUCT(J5:J7,$L5:$L7)</f>
        <v>3</v>
      </c>
      <c r="K8" s="87"/>
      <c r="L8" s="85"/>
      <c r="M8" s="84">
        <f>SUM(M5:M7)</f>
        <v>29.499449999999996</v>
      </c>
      <c r="N8" s="170"/>
    </row>
    <row r="10" spans="1:14" x14ac:dyDescent="0.25">
      <c r="B10" s="316" t="s">
        <v>297</v>
      </c>
      <c r="C10" s="316"/>
      <c r="D10" s="316"/>
      <c r="E10" s="316"/>
      <c r="F10" s="316"/>
      <c r="G10" s="316"/>
      <c r="H10" s="316"/>
      <c r="I10" s="316"/>
      <c r="J10" s="316"/>
      <c r="K10" s="316"/>
      <c r="L10" s="316"/>
      <c r="M10" s="316"/>
      <c r="N10" s="316"/>
    </row>
    <row r="11" spans="1:14" ht="45" customHeight="1" x14ac:dyDescent="0.25">
      <c r="A11" s="28"/>
      <c r="B11" s="23" t="s">
        <v>369</v>
      </c>
      <c r="C11" s="23" t="s">
        <v>17</v>
      </c>
      <c r="D11" s="31" t="s">
        <v>18</v>
      </c>
      <c r="E11" s="32" t="s">
        <v>19</v>
      </c>
      <c r="F11" s="32" t="s">
        <v>20</v>
      </c>
      <c r="G11" s="33" t="s">
        <v>21</v>
      </c>
      <c r="H11" s="34" t="s">
        <v>22</v>
      </c>
      <c r="I11" s="35" t="s">
        <v>23</v>
      </c>
      <c r="J11" s="35" t="s">
        <v>24</v>
      </c>
      <c r="K11" s="33" t="s">
        <v>25</v>
      </c>
      <c r="L11" s="34" t="s">
        <v>26</v>
      </c>
      <c r="M11" s="35" t="s">
        <v>27</v>
      </c>
      <c r="N11" s="35" t="s">
        <v>28</v>
      </c>
    </row>
    <row r="12" spans="1:14" x14ac:dyDescent="0.25">
      <c r="B12" s="88" t="s">
        <v>281</v>
      </c>
      <c r="C12" s="76" t="s">
        <v>133</v>
      </c>
      <c r="D12" s="76" t="s">
        <v>30</v>
      </c>
      <c r="E12" s="145">
        <f>IFERROR(((43560*FieldAcres_Planted)/VLOOKUP(D12,ImplementTable[],3,0))/(5280*VLOOKUP(D12,ImplementTable[],4,0))*1.25,"")</f>
        <v>2.9464285714285716</v>
      </c>
      <c r="F12" s="145">
        <f>IFERROR(0.5+(E12*0.2),"")</f>
        <v>1.0892857142857144</v>
      </c>
      <c r="G12" s="89" t="s">
        <v>428</v>
      </c>
      <c r="H12" s="90">
        <f>IFERROR(((IF(E12="",0,E12)+IF(F12="",0,F12))/FieldAcres_Planted)*VLOOKUP(G12,LaborTable[],4,0),"")</f>
        <v>2.4069000000000003</v>
      </c>
      <c r="I12" s="80">
        <f>IFERROR(VLOOKUP(VLOOKUP(C12,TractorTable[],3,0),FuelTable[],2,0)*VLOOKUP(C12,TractorTable[],15,0)*(E12/FieldAcres_Planted),"")</f>
        <v>1.6418034040178568</v>
      </c>
      <c r="J12" s="80">
        <f>IFERROR((IF(ISBLANK(C12),0,(VLOOKUP(C12,TractorTable[],14,0)))+IF(ISBLANK(D12),0,VLOOKUP(D12,ImplementTable[],14,0)))*(E12/FieldAcres_Planted),"")</f>
        <v>3.6377781458006342</v>
      </c>
      <c r="K12" s="91">
        <f>SUM(H12:J12)</f>
        <v>7.6864815498184917</v>
      </c>
      <c r="L12" s="92">
        <v>2</v>
      </c>
      <c r="M12" s="80">
        <f>K12*L12</f>
        <v>15.372963099636983</v>
      </c>
      <c r="N12" s="80">
        <f>IFERROR((IF(ISBLANK(C12),0,VLOOKUP(C12,TractorTable[],13,0))+IF(ISBLANK(D12),0,VLOOKUP(D12,ImplementTable[],13,0)))*((E12*L12)/FieldAcres_Planted),"")</f>
        <v>17.083860492003051</v>
      </c>
    </row>
    <row r="13" spans="1:14" x14ac:dyDescent="0.25">
      <c r="B13" s="76" t="s">
        <v>282</v>
      </c>
      <c r="C13" s="76" t="s">
        <v>135</v>
      </c>
      <c r="D13" s="76" t="s">
        <v>32</v>
      </c>
      <c r="E13" s="145">
        <f>IFERROR(((43560*FieldAcres_Planted)/VLOOKUP(D13,ImplementTable[],3,0))/(5280*VLOOKUP(D13,ImplementTable[],4,0))*1.25,"")</f>
        <v>1.1785714285714286</v>
      </c>
      <c r="F13" s="145">
        <f t="shared" ref="F13:F29" si="2">IFERROR(0.5+(E13*0.2),"")</f>
        <v>0.73571428571428577</v>
      </c>
      <c r="G13" s="89" t="s">
        <v>428</v>
      </c>
      <c r="H13" s="90">
        <f>IFERROR(((IF(E13="",0,E13)+IF(F13="",0,F13))/FieldAcres_Planted)*VLOOKUP(G13,LaborTable[],4,0),"")</f>
        <v>1.14168</v>
      </c>
      <c r="I13" s="80">
        <f>IFERROR(VLOOKUP(VLOOKUP(C13,TractorTable[],3,0),FuelTable[],2,0)*VLOOKUP(C13,TractorTable[],15,0)*(E13/FieldAcres_Planted),"")</f>
        <v>0.76617492187500003</v>
      </c>
      <c r="J13" s="80">
        <f>IFERROR((IF(ISBLANK(C13),0,(VLOOKUP(C13,TractorTable[],14,0)))+IF(ISBLANK(D13),0,VLOOKUP(D13,ImplementTable[],14,0)))*(E13/FieldAcres_Planted),"")</f>
        <v>1.3086426126790205</v>
      </c>
      <c r="K13" s="91">
        <f t="shared" ref="K13:K23" si="3">SUM(H13:J13)</f>
        <v>3.2164975345540205</v>
      </c>
      <c r="L13" s="92">
        <v>1</v>
      </c>
      <c r="M13" s="80">
        <f t="shared" ref="M13:M23" si="4">K13*L13</f>
        <v>3.2164975345540205</v>
      </c>
      <c r="N13" s="80">
        <f>IFERROR((IF(ISBLANK(C13),0,VLOOKUP(C13,TractorTable[],13,0))+IF(ISBLANK(D13),0,VLOOKUP(D13,ImplementTable[],13,0)))*((E13*L13)/FieldAcres_Planted),"")</f>
        <v>3.7596702093113499</v>
      </c>
    </row>
    <row r="14" spans="1:14" x14ac:dyDescent="0.25">
      <c r="B14" s="88" t="s">
        <v>283</v>
      </c>
      <c r="C14" s="76" t="s">
        <v>133</v>
      </c>
      <c r="D14" s="76" t="s">
        <v>149</v>
      </c>
      <c r="E14" s="145">
        <f>IFERROR(((43560*FieldAcres_Planted)/VLOOKUP(D14,ImplementTable[],3,0))/(5280*VLOOKUP(D14,ImplementTable[],4,0))*1.25,"")</f>
        <v>3.2738095238095237</v>
      </c>
      <c r="F14" s="145">
        <f t="shared" si="2"/>
        <v>1.1547619047619047</v>
      </c>
      <c r="G14" s="89" t="s">
        <v>428</v>
      </c>
      <c r="H14" s="90">
        <f>IFERROR(((IF(E14="",0,E14)+IF(F14="",0,F14))/FieldAcres_Planted)*VLOOKUP(G14,LaborTable[],4,0),"")</f>
        <v>2.6412</v>
      </c>
      <c r="I14" s="80">
        <f>IFERROR(VLOOKUP(VLOOKUP(C14,TractorTable[],3,0),FuelTable[],2,0)*VLOOKUP(C14,TractorTable[],15,0)*(E14/FieldAcres_Planted),"")</f>
        <v>1.8242260044642853</v>
      </c>
      <c r="J14" s="80">
        <f>IFERROR((IF(ISBLANK(C14),0,(VLOOKUP(C14,TractorTable[],14,0)))+IF(ISBLANK(D14),0,VLOOKUP(D14,ImplementTable[],14,0)))*(E14/FieldAcres_Planted),"")</f>
        <v>1.5445466292325933</v>
      </c>
      <c r="K14" s="91">
        <f t="shared" si="3"/>
        <v>6.0099726336968793</v>
      </c>
      <c r="L14" s="92">
        <v>1</v>
      </c>
      <c r="M14" s="80">
        <f t="shared" si="4"/>
        <v>6.0099726336968793</v>
      </c>
      <c r="N14" s="80">
        <f>IFERROR((IF(ISBLANK(C14),0,VLOOKUP(C14,TractorTable[],13,0))+IF(ISBLANK(D14),0,VLOOKUP(D14,ImplementTable[],13,0)))*((E14*L14)/FieldAcres_Planted),"")</f>
        <v>8.6327354490340351</v>
      </c>
    </row>
    <row r="15" spans="1:14" x14ac:dyDescent="0.25">
      <c r="B15" s="76" t="s">
        <v>441</v>
      </c>
      <c r="C15" s="76" t="s">
        <v>135</v>
      </c>
      <c r="D15" s="76" t="s">
        <v>435</v>
      </c>
      <c r="E15" s="145">
        <f>IFERROR(((43560*FieldAcres_Planted)/VLOOKUP(D15,ImplementTable[],3,0))/(5280*VLOOKUP(D15,ImplementTable[],4,0))*1.25,"")</f>
        <v>2.5462962962962967</v>
      </c>
      <c r="F15" s="145">
        <f t="shared" si="2"/>
        <v>1.0092592592592595</v>
      </c>
      <c r="G15" s="89" t="s">
        <v>428</v>
      </c>
      <c r="H15" s="90">
        <f>IFERROR(((IF(E15="",0,E15)+IF(F15="",0,F15))/FieldAcres_Planted)*VLOOKUP(G15,LaborTable[],4,0),"")</f>
        <v>2.1205333333333334</v>
      </c>
      <c r="I15" s="80">
        <f>IFERROR(VLOOKUP(VLOOKUP(C15,TractorTable[],3,0),FuelTable[],2,0)*VLOOKUP(C15,TractorTable[],15,0)*(E15/FieldAcres_Planted),"")</f>
        <v>1.6553161892361115</v>
      </c>
      <c r="J15" s="80">
        <f>IFERROR((IF(ISBLANK(C15),0,(VLOOKUP(C15,TractorTable[],14,0)))+IF(ISBLANK(D15),0,VLOOKUP(D15,ImplementTable[],14,0)))*(E15/FieldAcres_Planted),"")</f>
        <v>1.4989509347497239</v>
      </c>
      <c r="K15" s="91">
        <f t="shared" si="3"/>
        <v>5.2748004573191682</v>
      </c>
      <c r="L15" s="92">
        <v>1</v>
      </c>
      <c r="M15" s="80">
        <f t="shared" si="4"/>
        <v>5.2748004573191682</v>
      </c>
      <c r="N15" s="80">
        <f>IFERROR((IF(ISBLANK(C15),0,VLOOKUP(C15,TractorTable[],13,0))+IF(ISBLANK(D15),0,VLOOKUP(D15,ImplementTable[],13,0)))*((E15*L15)/FieldAcres_Planted),"")</f>
        <v>6.3920342206466136</v>
      </c>
    </row>
    <row r="16" spans="1:14" x14ac:dyDescent="0.25">
      <c r="B16" s="76" t="s">
        <v>442</v>
      </c>
      <c r="C16" s="76" t="s">
        <v>135</v>
      </c>
      <c r="D16" s="76" t="s">
        <v>443</v>
      </c>
      <c r="E16" s="145">
        <f>IFERROR(((43560*FieldAcres_Planted)/VLOOKUP(D16,ImplementTable[],3,0))/(5280*VLOOKUP(D16,ImplementTable[],4,0))*1.25,"")</f>
        <v>2.5462962962962967</v>
      </c>
      <c r="F16" s="145">
        <f t="shared" si="2"/>
        <v>1.0092592592592595</v>
      </c>
      <c r="G16" s="89" t="s">
        <v>428</v>
      </c>
      <c r="H16" s="90">
        <f>IFERROR(((IF(E16="",0,E16)+IF(F16="",0,F16))/FieldAcres_Planted)*VLOOKUP(G16,LaborTable[],4,0),"")</f>
        <v>2.1205333333333334</v>
      </c>
      <c r="I16" s="80">
        <f>IFERROR(VLOOKUP(VLOOKUP(C16,TractorTable[],3,0),FuelTable[],2,0)*VLOOKUP(C16,TractorTable[],15,0)*(E16/FieldAcres_Planted),"")</f>
        <v>1.6553161892361115</v>
      </c>
      <c r="J16" s="80">
        <f>IFERROR((IF(ISBLANK(C16),0,(VLOOKUP(C16,TractorTable[],14,0)))+IF(ISBLANK(D16),0,VLOOKUP(D16,ImplementTable[],14,0)))*(E16/FieldAcres_Planted),"")</f>
        <v>1.0666897636332922</v>
      </c>
      <c r="K16" s="91">
        <f t="shared" si="3"/>
        <v>4.8425392862027365</v>
      </c>
      <c r="L16" s="92">
        <v>1</v>
      </c>
      <c r="M16" s="80">
        <f t="shared" si="4"/>
        <v>4.8425392862027365</v>
      </c>
      <c r="N16" s="80">
        <f>IFERROR((IF(ISBLANK(C16),0,VLOOKUP(C16,TractorTable[],13,0))+IF(ISBLANK(D16),0,VLOOKUP(D16,ImplementTable[],13,0)))*((E16*L16)/FieldAcres_Planted),"")</f>
        <v>7.1422070059683742</v>
      </c>
    </row>
    <row r="17" spans="2:14" x14ac:dyDescent="0.25">
      <c r="B17" s="76" t="s">
        <v>290</v>
      </c>
      <c r="C17" s="76" t="s">
        <v>135</v>
      </c>
      <c r="D17" s="76" t="s">
        <v>32</v>
      </c>
      <c r="E17" s="145">
        <f>IFERROR(((43560*FieldAcres_Planted)/VLOOKUP(D17,ImplementTable[],3,0))/(5280*VLOOKUP(D17,ImplementTable[],4,0))*1.25,"")</f>
        <v>1.1785714285714286</v>
      </c>
      <c r="F17" s="145">
        <f t="shared" si="2"/>
        <v>0.73571428571428577</v>
      </c>
      <c r="G17" s="89" t="s">
        <v>428</v>
      </c>
      <c r="H17" s="90">
        <f>IFERROR(((IF(E17="",0,E17)+IF(F17="",0,F17))/FieldAcres_Planted)*VLOOKUP(G17,LaborTable[],4,0),"")</f>
        <v>1.14168</v>
      </c>
      <c r="I17" s="80">
        <f>IFERROR(VLOOKUP(VLOOKUP(C17,TractorTable[],3,0),FuelTable[],2,0)*VLOOKUP(C17,TractorTable[],15,0)*(E17/FieldAcres_Planted),"")</f>
        <v>0.76617492187500003</v>
      </c>
      <c r="J17" s="80">
        <f>IFERROR((IF(ISBLANK(C17),0,(VLOOKUP(C17,TractorTable[],14,0)))+IF(ISBLANK(D17),0,VLOOKUP(D17,ImplementTable[],14,0)))*(E17/FieldAcres_Planted),"")</f>
        <v>1.3086426126790205</v>
      </c>
      <c r="K17" s="91">
        <f t="shared" si="3"/>
        <v>3.2164975345540205</v>
      </c>
      <c r="L17" s="92">
        <v>3</v>
      </c>
      <c r="M17" s="80">
        <f t="shared" si="4"/>
        <v>9.6494926036620612</v>
      </c>
      <c r="N17" s="80">
        <f>IFERROR((IF(ISBLANK(C17),0,VLOOKUP(C17,TractorTable[],13,0))+IF(ISBLANK(D17),0,VLOOKUP(D17,ImplementTable[],13,0)))*((E17*L17)/FieldAcres_Planted),"")</f>
        <v>11.279010627934049</v>
      </c>
    </row>
    <row r="18" spans="2:14" x14ac:dyDescent="0.25">
      <c r="B18" s="76" t="s">
        <v>445</v>
      </c>
      <c r="C18" s="76" t="s">
        <v>137</v>
      </c>
      <c r="D18" s="76" t="s">
        <v>439</v>
      </c>
      <c r="E18" s="145">
        <f>IFERROR(((43560*FieldAcres_Planted)/VLOOKUP(D18,ImplementTable[],3,0))/(5280*VLOOKUP(D18,ImplementTable[],4,0))*1.25,"")</f>
        <v>1.5566037735849056</v>
      </c>
      <c r="F18" s="145">
        <f t="shared" ref="F18" si="5">IFERROR(0.5+(E18*0.2),"")</f>
        <v>0.81132075471698117</v>
      </c>
      <c r="G18" s="89" t="s">
        <v>428</v>
      </c>
      <c r="H18" s="90">
        <f>IFERROR(((IF(E18="",0,E18)+IF(F18="",0,F18))/FieldAcres_Planted)*VLOOKUP(G18,LaborTable[],4,0),"")</f>
        <v>1.4122301886792454</v>
      </c>
      <c r="I18" s="80">
        <f>IFERROR(VLOOKUP(VLOOKUP(C18,TractorTable[],3,0),FuelTable[],2,0)*VLOOKUP(C18,TractorTable[],15,0)*(E18/FieldAcres_Planted),"")</f>
        <v>1.4456130601415091</v>
      </c>
      <c r="J18" s="80">
        <f>IFERROR((IF(ISBLANK(C18),0,(VLOOKUP(C18,TractorTable[],14,0)))+IF(ISBLANK(D18),0,VLOOKUP(D18,ImplementTable[],14,0)))*(E18/FieldAcres_Planted),"")</f>
        <v>0.82401741156557795</v>
      </c>
      <c r="K18" s="91">
        <f t="shared" ref="K18" si="6">SUM(H18:J18)</f>
        <v>3.6818606603863326</v>
      </c>
      <c r="L18" s="92">
        <v>1</v>
      </c>
      <c r="M18" s="80">
        <f t="shared" ref="M18" si="7">K18*L18</f>
        <v>3.6818606603863326</v>
      </c>
      <c r="N18" s="80">
        <f>IFERROR((IF(ISBLANK(C18),0,VLOOKUP(C18,TractorTable[],13,0))+IF(ISBLANK(D18),0,VLOOKUP(D18,ImplementTable[],13,0)))*((E18*L18)/FieldAcres_Planted),"")</f>
        <v>9.7859884605599117</v>
      </c>
    </row>
    <row r="19" spans="2:14" x14ac:dyDescent="0.25">
      <c r="B19" s="76" t="s">
        <v>285</v>
      </c>
      <c r="C19" s="76" t="s">
        <v>137</v>
      </c>
      <c r="D19" s="76" t="s">
        <v>436</v>
      </c>
      <c r="E19" s="145">
        <f>IFERROR(((43560*FieldAcres_Planted)/VLOOKUP(D19,ImplementTable[],3,0))/(5280*VLOOKUP(D19,ImplementTable[],4,0))*1.25,"")</f>
        <v>1.5566037735849056</v>
      </c>
      <c r="F19" s="145">
        <f t="shared" si="2"/>
        <v>0.81132075471698117</v>
      </c>
      <c r="G19" s="89" t="s">
        <v>428</v>
      </c>
      <c r="H19" s="90">
        <f>IFERROR(((IF(E19="",0,E19)+IF(F19="",0,F19))/FieldAcres_Planted)*VLOOKUP(G19,LaborTable[],4,0),"")</f>
        <v>1.4122301886792454</v>
      </c>
      <c r="I19" s="80">
        <f>IFERROR(VLOOKUP(VLOOKUP(C19,TractorTable[],3,0),FuelTable[],2,0)*VLOOKUP(C19,TractorTable[],15,0)*(E19/FieldAcres_Planted),"")</f>
        <v>1.4456130601415091</v>
      </c>
      <c r="J19" s="80">
        <f>IFERROR((IF(ISBLANK(C19),0,(VLOOKUP(C19,TractorTable[],14,0)))+IF(ISBLANK(D19),0,VLOOKUP(D19,ImplementTable[],14,0)))*(E19/FieldAcres_Planted),"")</f>
        <v>1.0825567771687912</v>
      </c>
      <c r="K19" s="91">
        <f t="shared" si="3"/>
        <v>3.940400025989546</v>
      </c>
      <c r="L19" s="92">
        <v>3</v>
      </c>
      <c r="M19" s="80">
        <f t="shared" si="4"/>
        <v>11.821200077968637</v>
      </c>
      <c r="N19" s="80">
        <f>IFERROR((IF(ISBLANK(C19),0,VLOOKUP(C19,TractorTable[],13,0))+IF(ISBLANK(D19),0,VLOOKUP(D19,ImplementTable[],13,0)))*((E19*L19)/FieldAcres_Planted),"")</f>
        <v>28.463454083528198</v>
      </c>
    </row>
    <row r="20" spans="2:14" x14ac:dyDescent="0.25">
      <c r="B20" s="76" t="s">
        <v>286</v>
      </c>
      <c r="C20" s="76" t="s">
        <v>133</v>
      </c>
      <c r="D20" s="76" t="s">
        <v>30</v>
      </c>
      <c r="E20" s="145">
        <f>IFERROR(((43560*FieldAcres_Planted)/VLOOKUP(D20,ImplementTable[],3,0))/(5280*VLOOKUP(D20,ImplementTable[],4,0))*1.25,"")</f>
        <v>2.9464285714285716</v>
      </c>
      <c r="F20" s="145">
        <f t="shared" si="2"/>
        <v>1.0892857142857144</v>
      </c>
      <c r="G20" s="89" t="s">
        <v>428</v>
      </c>
      <c r="H20" s="90">
        <f>IFERROR(((IF(E20="",0,E20)+IF(F20="",0,F20))/FieldAcres_Planted)*VLOOKUP(G20,LaborTable[],4,0),"")</f>
        <v>2.4069000000000003</v>
      </c>
      <c r="I20" s="80">
        <f>IFERROR(VLOOKUP(VLOOKUP(C20,TractorTable[],3,0),FuelTable[],2,0)*VLOOKUP(C20,TractorTable[],15,0)*(E20/FieldAcres_Planted),"")</f>
        <v>1.6418034040178568</v>
      </c>
      <c r="J20" s="80">
        <f>IFERROR((IF(ISBLANK(C20),0,(VLOOKUP(C20,TractorTable[],14,0)))+IF(ISBLANK(D20),0,VLOOKUP(D20,ImplementTable[],14,0)))*(E20/FieldAcres_Planted),"")</f>
        <v>3.6377781458006342</v>
      </c>
      <c r="K20" s="91">
        <f t="shared" si="3"/>
        <v>7.6864815498184917</v>
      </c>
      <c r="L20" s="92">
        <v>2</v>
      </c>
      <c r="M20" s="80">
        <f t="shared" si="4"/>
        <v>15.372963099636983</v>
      </c>
      <c r="N20" s="80">
        <f>IFERROR((IF(ISBLANK(C20),0,VLOOKUP(C20,TractorTable[],13,0))+IF(ISBLANK(D20),0,VLOOKUP(D20,ImplementTable[],13,0)))*((E20*L20)/FieldAcres_Planted),"")</f>
        <v>17.083860492003051</v>
      </c>
    </row>
    <row r="21" spans="2:14" x14ac:dyDescent="0.25">
      <c r="B21" s="76" t="s">
        <v>287</v>
      </c>
      <c r="C21" s="76" t="s">
        <v>133</v>
      </c>
      <c r="D21" s="76" t="s">
        <v>437</v>
      </c>
      <c r="E21" s="145">
        <f>IFERROR(((43560*FieldAcres_Planted)/VLOOKUP(D21,ImplementTable[],3,0))/(5280*VLOOKUP(D21,ImplementTable[],4,0))*1.25,"")</f>
        <v>3.0555555555555558</v>
      </c>
      <c r="F21" s="145">
        <f t="shared" si="2"/>
        <v>1.1111111111111112</v>
      </c>
      <c r="G21" s="89" t="s">
        <v>428</v>
      </c>
      <c r="H21" s="90">
        <f>IFERROR(((IF(E21="",0,E21)+IF(F21="",0,F21))/FieldAcres_Planted)*VLOOKUP(G21,LaborTable[],4,0),"")</f>
        <v>2.4849999999999999</v>
      </c>
      <c r="I21" s="80">
        <f>IFERROR(VLOOKUP(VLOOKUP(C21,TractorTable[],3,0),FuelTable[],2,0)*VLOOKUP(C21,TractorTable[],15,0)*(E21/FieldAcres_Planted),"")</f>
        <v>1.7026109374999998</v>
      </c>
      <c r="J21" s="80">
        <f>IFERROR((IF(ISBLANK(C21),0,(VLOOKUP(C21,TractorTable[],14,0)))+IF(ISBLANK(D21),0,VLOOKUP(D21,ImplementTable[],14,0)))*(E21/FieldAcres_Planted),"")</f>
        <v>1.6157633921769057</v>
      </c>
      <c r="K21" s="91">
        <f t="shared" si="3"/>
        <v>5.8033743296769051</v>
      </c>
      <c r="L21" s="92">
        <v>1</v>
      </c>
      <c r="M21" s="80">
        <f t="shared" si="4"/>
        <v>5.8033743296769051</v>
      </c>
      <c r="N21" s="80">
        <f>IFERROR((IF(ISBLANK(C21),0,VLOOKUP(C21,TractorTable[],13,0))+IF(ISBLANK(D21),0,VLOOKUP(D21,ImplementTable[],13,0)))*((E21*L21)/FieldAcres_Planted),"")</f>
        <v>7.5641891783060062</v>
      </c>
    </row>
    <row r="22" spans="2:14" x14ac:dyDescent="0.25">
      <c r="B22" s="76" t="s">
        <v>289</v>
      </c>
      <c r="C22" s="76" t="s">
        <v>259</v>
      </c>
      <c r="D22" s="76" t="s">
        <v>288</v>
      </c>
      <c r="E22" s="145">
        <f>IFERROR(((43560*FieldAcres_Planted)/VLOOKUP(D22,ImplementTable[],3,0))/(5280*VLOOKUP(D22,ImplementTable[],4,0))*1.25,"")</f>
        <v>6.3461538461538458</v>
      </c>
      <c r="F22" s="145">
        <f t="shared" si="2"/>
        <v>1.7692307692307692</v>
      </c>
      <c r="G22" s="89" t="s">
        <v>428</v>
      </c>
      <c r="H22" s="90">
        <f>IFERROR(((IF(E22="",0,E22)+IF(F22="",0,F22))/FieldAcres_Planted)*VLOOKUP(G22,LaborTable[],4,0),"")</f>
        <v>4.8400153846153842</v>
      </c>
      <c r="I22" s="80">
        <f>IFERROR(VLOOKUP(VLOOKUP(C22,TractorTable[],3,0),FuelTable[],2,0)*VLOOKUP(C22,TractorTable[],15,0)*(E22/FieldAcres_Planted),"")</f>
        <v>2.3574612980769234</v>
      </c>
      <c r="J22" s="80">
        <f>IFERROR((IF(ISBLANK(C22),0,(VLOOKUP(C22,TractorTable[],14,0)))+IF(ISBLANK(D22),0,VLOOKUP(D22,ImplementTable[],14,0)))*(E22/FieldAcres_Planted),"")</f>
        <v>0.97541973195377796</v>
      </c>
      <c r="K22" s="91">
        <f t="shared" si="3"/>
        <v>8.1728964146460861</v>
      </c>
      <c r="L22" s="92">
        <v>1</v>
      </c>
      <c r="M22" s="80">
        <f t="shared" si="4"/>
        <v>8.1728964146460861</v>
      </c>
      <c r="N22" s="80">
        <f>IFERROR((IF(ISBLANK(C22),0,VLOOKUP(C22,TractorTable[],13,0))+IF(ISBLANK(D22),0,VLOOKUP(D22,ImplementTable[],13,0)))*((E22*L22)/FieldAcres_Planted),"")</f>
        <v>6.2043538299955152</v>
      </c>
    </row>
    <row r="23" spans="2:14" x14ac:dyDescent="0.25">
      <c r="B23" s="76" t="s">
        <v>291</v>
      </c>
      <c r="C23" s="76" t="s">
        <v>258</v>
      </c>
      <c r="D23" s="76" t="s">
        <v>152</v>
      </c>
      <c r="E23" s="145">
        <v>27</v>
      </c>
      <c r="F23" s="145">
        <f t="shared" si="2"/>
        <v>5.9</v>
      </c>
      <c r="G23" s="89" t="s">
        <v>428</v>
      </c>
      <c r="H23" s="90">
        <f>IFERROR(((IF(E23="",0,E23)+IF(F23="",0,F23))/FieldAcres_Planted)*VLOOKUP(G23,LaborTable[],4,0),"")</f>
        <v>19.621559999999999</v>
      </c>
      <c r="I23" s="80">
        <f>IFERROR(VLOOKUP(VLOOKUP(C23,TractorTable[],3,0),FuelTable[],2,0)*VLOOKUP(C23,TractorTable[],15,0)*(E23/FieldAcres_Planted),"")</f>
        <v>12.537407812499998</v>
      </c>
      <c r="J23" s="80">
        <f>IFERROR((IF(ISBLANK(C23),0,(VLOOKUP(C23,TractorTable[],14,0)))+IF(ISBLANK(D23),0,VLOOKUP(D23,ImplementTable[],14,0)))*(E23/FieldAcres_Planted),"")</f>
        <v>13.143440403873559</v>
      </c>
      <c r="K23" s="91">
        <f t="shared" si="3"/>
        <v>45.30240821637355</v>
      </c>
      <c r="L23" s="92">
        <v>1</v>
      </c>
      <c r="M23" s="80">
        <f t="shared" si="4"/>
        <v>45.30240821637355</v>
      </c>
      <c r="N23" s="80">
        <f>IFERROR((IF(ISBLANK(C23),0,VLOOKUP(C23,TractorTable[],13,0))+IF(ISBLANK(D23),0,VLOOKUP(D23,ImplementTable[],13,0)))*((E23*L23)/FieldAcres_Planted),"")</f>
        <v>69.956769027671939</v>
      </c>
    </row>
    <row r="24" spans="2:14" x14ac:dyDescent="0.25">
      <c r="B24" s="76" t="s">
        <v>292</v>
      </c>
      <c r="C24" s="76" t="s">
        <v>135</v>
      </c>
      <c r="D24" s="76" t="s">
        <v>157</v>
      </c>
      <c r="E24" s="145">
        <v>13.5</v>
      </c>
      <c r="F24" s="145">
        <f t="shared" si="2"/>
        <v>3.2</v>
      </c>
      <c r="G24" s="89" t="s">
        <v>45</v>
      </c>
      <c r="H24" s="90">
        <f>IFERROR(((IF(E24="",0,E24)+IF(F24="",0,F24))/FieldAcres_Planted)*VLOOKUP(G24,LaborTable[],4,0),"")</f>
        <v>7.6001700000000003</v>
      </c>
      <c r="I24" s="80">
        <f>IFERROR(VLOOKUP(VLOOKUP(C24,TractorTable[],3,0),FuelTable[],2,0)*VLOOKUP(C24,TractorTable[],15,0)*(E24/FieldAcres_Planted),"")</f>
        <v>8.7761854687500023</v>
      </c>
      <c r="J24" s="80">
        <f>IFERROR((IF(ISBLANK(C24),0,(VLOOKUP(C24,TractorTable[],14,0)))+IF(ISBLANK(D24),0,VLOOKUP(D24,ImplementTable[],14,0)))*(E24/FieldAcres_Planted),"")</f>
        <v>3.6136107603434913</v>
      </c>
      <c r="K24" s="91">
        <f t="shared" ref="K24:K27" si="8">SUM(H24:J24)</f>
        <v>19.989966229093493</v>
      </c>
      <c r="L24" s="92">
        <v>1</v>
      </c>
      <c r="M24" s="80">
        <f t="shared" ref="M24:M27" si="9">K24*L24</f>
        <v>19.989966229093493</v>
      </c>
      <c r="N24" s="80">
        <f>IFERROR((IF(ISBLANK(C24),0,VLOOKUP(C24,TractorTable[],13,0))+IF(ISBLANK(D24),0,VLOOKUP(D24,ImplementTable[],13,0)))*((E24*L24)/FieldAcres_Planted),"")</f>
        <v>28.371276489497184</v>
      </c>
    </row>
    <row r="25" spans="2:14" x14ac:dyDescent="0.25">
      <c r="B25" s="76" t="s">
        <v>446</v>
      </c>
      <c r="C25" s="76" t="s">
        <v>133</v>
      </c>
      <c r="D25" s="76" t="s">
        <v>440</v>
      </c>
      <c r="E25" s="145">
        <f>IFERROR(((43560*FieldAcres_Planted)/VLOOKUP(D25,ImplementTable[],3,0))/(5280*VLOOKUP(D25,ImplementTable[],4,0))*1.25,"")</f>
        <v>1.5566037735849056</v>
      </c>
      <c r="F25" s="145">
        <f t="shared" si="2"/>
        <v>0.81132075471698117</v>
      </c>
      <c r="G25" s="89" t="s">
        <v>428</v>
      </c>
      <c r="H25" s="90">
        <f>IFERROR(((IF(E25="",0,E25)+IF(F25="",0,F25))/FieldAcres_Planted)*VLOOKUP(G25,LaborTable[],4,0),"")</f>
        <v>1.4122301886792454</v>
      </c>
      <c r="I25" s="80">
        <f>IFERROR(VLOOKUP(VLOOKUP(C25,TractorTable[],3,0),FuelTable[],2,0)*VLOOKUP(C25,TractorTable[],15,0)*(E25/FieldAcres_Planted),"")</f>
        <v>0.86736783608490542</v>
      </c>
      <c r="J25" s="80">
        <f>IFERROR((IF(ISBLANK(C25),0,(VLOOKUP(C25,TractorTable[],14,0)))+IF(ISBLANK(D25),0,VLOOKUP(D25,ImplementTable[],14,0)))*(E25/FieldAcres_Planted),"")</f>
        <v>0.4660227099523096</v>
      </c>
      <c r="K25" s="91">
        <f t="shared" ref="K25" si="10">SUM(H25:J25)</f>
        <v>2.7456207347164603</v>
      </c>
      <c r="L25" s="92">
        <v>4</v>
      </c>
      <c r="M25" s="80">
        <f t="shared" si="9"/>
        <v>10.982482938865841</v>
      </c>
      <c r="N25" s="80">
        <f>IFERROR((IF(ISBLANK(C25),0,VLOOKUP(C25,TractorTable[],13,0))+IF(ISBLANK(D25),0,VLOOKUP(D25,ImplementTable[],13,0)))*((E25*L25)/FieldAcres_Planted),"")</f>
        <v>11.157365203359351</v>
      </c>
    </row>
    <row r="26" spans="2:14" x14ac:dyDescent="0.25">
      <c r="B26" s="76" t="s">
        <v>418</v>
      </c>
      <c r="C26" s="76" t="s">
        <v>135</v>
      </c>
      <c r="D26" s="76" t="s">
        <v>419</v>
      </c>
      <c r="E26" s="145">
        <f>IFERROR(((43560*FieldAcres_Planted)/VLOOKUP(D26,ImplementTable[],3,0))/(5280*VLOOKUP(D26,ImplementTable[],4,0))*1.25,"")</f>
        <v>1.9642857142857142</v>
      </c>
      <c r="F26" s="145">
        <f t="shared" ref="F26" si="11">IFERROR(0.5+(E26*0.2),"")</f>
        <v>0.89285714285714279</v>
      </c>
      <c r="G26" s="89" t="s">
        <v>428</v>
      </c>
      <c r="H26" s="90">
        <f>IFERROR(((IF(E26="",0,E26)+IF(F26="",0,F26))/FieldAcres_Planted)*VLOOKUP(G26,LaborTable[],4,0),"")</f>
        <v>1.7039999999999997</v>
      </c>
      <c r="I26" s="80">
        <f>IFERROR(VLOOKUP(VLOOKUP(C26,TractorTable[],3,0),FuelTable[],2,0)*VLOOKUP(C26,TractorTable[],15,0)*(E26/FieldAcres_Planted),"")</f>
        <v>1.2769582031250002</v>
      </c>
      <c r="J26" s="80">
        <f>IFERROR((IF(ISBLANK(C26),0,(VLOOKUP(C26,TractorTable[],14,0)))+IF(ISBLANK(D26),0,VLOOKUP(D26,ImplementTable[],14,0)))*(E26/FieldAcres_Planted),"")</f>
        <v>0.6849217281424711</v>
      </c>
      <c r="K26" s="91">
        <f t="shared" ref="K26" si="12">SUM(H26:J26)</f>
        <v>3.6658799312674706</v>
      </c>
      <c r="L26" s="92">
        <v>2</v>
      </c>
      <c r="M26" s="80">
        <f t="shared" ref="M26" si="13">K26*L26</f>
        <v>7.3317598625349412</v>
      </c>
      <c r="N26" s="80">
        <f>IFERROR((IF(ISBLANK(C26),0,VLOOKUP(C26,TractorTable[],13,0))+IF(ISBLANK(D26),0,VLOOKUP(D26,ImplementTable[],13,0)))*((E26*L26)/FieldAcres_Planted),"")</f>
        <v>9.5974945816748871</v>
      </c>
    </row>
    <row r="27" spans="2:14" x14ac:dyDescent="0.25">
      <c r="B27" s="76" t="s">
        <v>33</v>
      </c>
      <c r="C27" s="76" t="s">
        <v>133</v>
      </c>
      <c r="D27" s="76" t="s">
        <v>165</v>
      </c>
      <c r="E27" s="145">
        <f>IFERROR(((43560*FieldAcres_Planted)/VLOOKUP(D27,ImplementTable[],3,0))/(5280*VLOOKUP(D27,ImplementTable[],4,0))*1.25,"")</f>
        <v>1.0576923076923077</v>
      </c>
      <c r="F27" s="145">
        <f t="shared" si="2"/>
        <v>0.71153846153846156</v>
      </c>
      <c r="G27" s="89" t="s">
        <v>428</v>
      </c>
      <c r="H27" s="90">
        <f>IFERROR(((IF(E27="",0,E27)+IF(F27="",0,F27))/FieldAcres_Planted)*VLOOKUP(G27,LaborTable[],4,0),"")</f>
        <v>1.0551692307692306</v>
      </c>
      <c r="I27" s="80">
        <f>IFERROR(VLOOKUP(VLOOKUP(C27,TractorTable[],3,0),FuelTable[],2,0)*VLOOKUP(C27,TractorTable[],15,0)*(E27/FieldAcres_Planted),"")</f>
        <v>0.58936532451923063</v>
      </c>
      <c r="J27" s="80">
        <f>IFERROR((IF(ISBLANK(C27),0,(VLOOKUP(C27,TractorTable[],14,0)))+IF(ISBLANK(D27),0,VLOOKUP(D27,ImplementTable[],14,0)))*(E27/FieldAcres_Planted),"")</f>
        <v>0.56437467252179063</v>
      </c>
      <c r="K27" s="91">
        <f t="shared" si="8"/>
        <v>2.2089092278102518</v>
      </c>
      <c r="L27" s="92">
        <v>9</v>
      </c>
      <c r="M27" s="80">
        <f t="shared" si="9"/>
        <v>19.880183050292267</v>
      </c>
      <c r="N27" s="80">
        <f>IFERROR((IF(ISBLANK(C27),0,VLOOKUP(C27,TractorTable[],13,0))+IF(ISBLANK(D27),0,VLOOKUP(D27,ImplementTable[],13,0)))*((E27*L27)/FieldAcres_Planted),"")</f>
        <v>23.659408178556092</v>
      </c>
    </row>
    <row r="28" spans="2:14" x14ac:dyDescent="0.25">
      <c r="B28" s="76" t="s">
        <v>284</v>
      </c>
      <c r="C28" s="76"/>
      <c r="D28" s="76" t="s">
        <v>35</v>
      </c>
      <c r="E28" s="145">
        <v>1.1000000000000001</v>
      </c>
      <c r="F28" s="145"/>
      <c r="G28" s="89"/>
      <c r="H28" s="90" t="str">
        <f>IFERROR(((IF(E28="",0,E28)+IF(F28="",0,F28))/FieldAcres_Planted)*VLOOKUP(G28,LaborTable[],4,0),"")</f>
        <v/>
      </c>
      <c r="I28" s="80" t="str">
        <f>IFERROR(VLOOKUP(VLOOKUP(C28,TractorTable[],3,0),FuelTable[],2,0)*VLOOKUP(C28,TractorTable[],15,0)*(E28/FieldAcres_Planted),"")</f>
        <v/>
      </c>
      <c r="J28" s="80">
        <f>IFERROR((IF(ISBLANK(C28),0,(VLOOKUP(C28,TractorTable[],14,0)))+IF(ISBLANK(D28),0,VLOOKUP(D28,ImplementTable[],14,0)))*(E28/FieldAcres_Planted),"")</f>
        <v>0.1306737144902777</v>
      </c>
      <c r="K28" s="91">
        <f t="shared" ref="K28" si="14">SUM(H28:J28)</f>
        <v>0.1306737144902777</v>
      </c>
      <c r="L28" s="92">
        <v>9</v>
      </c>
      <c r="M28" s="80">
        <f t="shared" ref="M28" si="15">K28*L28</f>
        <v>1.1760634304124993</v>
      </c>
      <c r="N28" s="80">
        <f>IFERROR((IF(ISBLANK(C28),0,VLOOKUP(C28,TractorTable[],13,0))+IF(ISBLANK(D28),0,VLOOKUP(D28,ImplementTable[],13,0)))*((E28*L28)/FieldAcres_Planted),"")</f>
        <v>2.1189409784174775</v>
      </c>
    </row>
    <row r="29" spans="2:14" x14ac:dyDescent="0.25">
      <c r="B29" s="76" t="s">
        <v>295</v>
      </c>
      <c r="C29" s="76" t="s">
        <v>133</v>
      </c>
      <c r="D29" s="76" t="s">
        <v>437</v>
      </c>
      <c r="E29" s="145">
        <f>IFERROR(((43560*FieldAcres_Planted)/VLOOKUP(D29,ImplementTable[],3,0))/(5280*VLOOKUP(D29,ImplementTable[],4,0))*1.25,"")</f>
        <v>3.0555555555555558</v>
      </c>
      <c r="F29" s="145">
        <f t="shared" si="2"/>
        <v>1.1111111111111112</v>
      </c>
      <c r="G29" s="89" t="s">
        <v>428</v>
      </c>
      <c r="H29" s="90">
        <f>IFERROR(((IF(E29="",0,E29)+IF(F29="",0,F29))/FieldAcres_Planted)*VLOOKUP(G29,LaborTable[],4,0),"")</f>
        <v>2.4849999999999999</v>
      </c>
      <c r="I29" s="80">
        <f>IFERROR(VLOOKUP(VLOOKUP(C29,TractorTable[],3,0),FuelTable[],2,0)*VLOOKUP(C29,TractorTable[],15,0)*(E29/FieldAcres_Planted),"")</f>
        <v>1.7026109374999998</v>
      </c>
      <c r="J29" s="80">
        <f>IFERROR((IF(ISBLANK(C29),0,(VLOOKUP(C29,TractorTable[],14,0)))+IF(ISBLANK(D29),0,VLOOKUP(D29,ImplementTable[],14,0)))*(E29/FieldAcres_Planted),"")</f>
        <v>1.6157633921769057</v>
      </c>
      <c r="K29" s="91">
        <f t="shared" ref="K29:K30" si="16">SUM(H29:J29)</f>
        <v>5.8033743296769051</v>
      </c>
      <c r="L29" s="349">
        <v>2</v>
      </c>
      <c r="M29" s="80">
        <f t="shared" ref="M29:M30" si="17">K29*L29</f>
        <v>11.60674865935381</v>
      </c>
      <c r="N29" s="80">
        <f>IFERROR((IF(ISBLANK(C29),0,VLOOKUP(C29,TractorTable[],13,0))+IF(ISBLANK(D29),0,VLOOKUP(D29,ImplementTable[],13,0)))*((E29*L29)/FieldAcres_Planted),"")</f>
        <v>15.128378356612012</v>
      </c>
    </row>
    <row r="30" spans="2:14" x14ac:dyDescent="0.25">
      <c r="B30" s="76" t="s">
        <v>34</v>
      </c>
      <c r="C30" s="76"/>
      <c r="D30" s="76" t="s">
        <v>157</v>
      </c>
      <c r="E30" s="145">
        <v>1.5</v>
      </c>
      <c r="F30" s="145"/>
      <c r="G30" s="89"/>
      <c r="H30" s="90" t="str">
        <f>IFERROR(((IF(E30="",0,E30)+IF(F30="",0,F30))/FieldAcres_Planted)*VLOOKUP(G30,LaborTable[],4,0),"")</f>
        <v/>
      </c>
      <c r="I30" s="80" t="str">
        <f>IFERROR(VLOOKUP(VLOOKUP(C30,TractorTable[],3,0),FuelTable[],2,0)*VLOOKUP(C30,TractorTable[],15,0)*(E30/FieldAcres_Planted),"")</f>
        <v/>
      </c>
      <c r="J30" s="80">
        <f>IFERROR((IF(ISBLANK(C30),0,(VLOOKUP(C30,TractorTable[],14,0)))+IF(ISBLANK(D30),0,VLOOKUP(D30,ImplementTable[],14,0)))*(E30/FieldAcres_Planted),"")</f>
        <v>0.13499350670483232</v>
      </c>
      <c r="K30" s="91">
        <f t="shared" si="16"/>
        <v>0.13499350670483232</v>
      </c>
      <c r="L30" s="349">
        <v>2</v>
      </c>
      <c r="M30" s="80">
        <f t="shared" si="17"/>
        <v>0.26998701340966463</v>
      </c>
      <c r="N30" s="80">
        <f>IFERROR((IF(ISBLANK(C30),0,VLOOKUP(C30,TractorTable[],13,0))+IF(ISBLANK(D30),0,VLOOKUP(D30,ImplementTable[],13,0)))*((E30*L30)/FieldAcres_Planted),"")</f>
        <v>0.48644191423725375</v>
      </c>
    </row>
    <row r="31" spans="2:14" x14ac:dyDescent="0.25">
      <c r="B31" s="76" t="s">
        <v>296</v>
      </c>
      <c r="C31" s="76"/>
      <c r="D31" s="76" t="s">
        <v>35</v>
      </c>
      <c r="E31" s="166">
        <v>1.5</v>
      </c>
      <c r="F31" s="166"/>
      <c r="G31" s="135"/>
      <c r="H31" s="90" t="str">
        <f>IFERROR(((IF(E31="",0,E31)+IF(F31="",0,F31))/FieldAcres_Planted)*VLOOKUP(G31,LaborTable[],4,0),"")</f>
        <v/>
      </c>
      <c r="I31" s="80" t="str">
        <f>IFERROR(VLOOKUP(VLOOKUP(C31,TractorTable[],3,0),FuelTable[],2,0)*VLOOKUP(C31,TractorTable[],15,0)*(E31/FieldAcres_Planted),"")</f>
        <v/>
      </c>
      <c r="J31" s="80">
        <f>IFERROR((IF(ISBLANK(C31),0,(VLOOKUP(C31,TractorTable[],14,0)))+IF(ISBLANK(D31),0,VLOOKUP(D31,ImplementTable[],14,0)))*(E31/FieldAcres_Planted),"")</f>
        <v>0.17819142885037867</v>
      </c>
      <c r="K31" s="91">
        <f t="shared" ref="K31:K33" si="18">SUM(H31:J31)</f>
        <v>0.17819142885037867</v>
      </c>
      <c r="L31" s="349">
        <v>2</v>
      </c>
      <c r="M31" s="80">
        <f t="shared" ref="M31:M33" si="19">K31*L31</f>
        <v>0.35638285770075734</v>
      </c>
      <c r="N31" s="80">
        <f>IFERROR((IF(ISBLANK(C31),0,VLOOKUP(C31,TractorTable[],13,0))+IF(ISBLANK(D31),0,VLOOKUP(D31,ImplementTable[],13,0)))*((E31*L31)/FieldAcres_Planted),"")</f>
        <v>0.64210332679317494</v>
      </c>
    </row>
    <row r="32" spans="2:14" x14ac:dyDescent="0.25">
      <c r="B32" s="118" t="s">
        <v>368</v>
      </c>
      <c r="C32" s="76" t="s">
        <v>259</v>
      </c>
      <c r="D32" s="76"/>
      <c r="E32" s="166">
        <v>4</v>
      </c>
      <c r="F32" s="166"/>
      <c r="G32" s="135"/>
      <c r="H32" s="90" t="str">
        <f>IFERROR(((IF(E32="",0,E32)+IF(F32="",0,F32))/FieldAcres_Planted)*VLOOKUP(G32,LaborTable[],4,0),"")</f>
        <v/>
      </c>
      <c r="I32" s="80">
        <f>IFERROR(VLOOKUP(VLOOKUP(C32,TractorTable[],3,0),FuelTable[],2,0)*VLOOKUP(C32,TractorTable[],15,0)*(E32/FieldAcres_Planted),"")</f>
        <v>1.4859150000000003</v>
      </c>
      <c r="J32" s="80">
        <f>IFERROR((IF(ISBLANK(C32),0,(VLOOKUP(C32,TractorTable[],14,0)))+IF(ISBLANK(D32),0,VLOOKUP(D32,ImplementTable[],14,0)))*(E32/FieldAcres_Planted),"")</f>
        <v>0.23760000000000001</v>
      </c>
      <c r="K32" s="91">
        <f t="shared" ref="K32" si="20">SUM(H32:J32)</f>
        <v>1.7235150000000004</v>
      </c>
      <c r="L32" s="92">
        <v>20</v>
      </c>
      <c r="M32" s="80">
        <f t="shared" ref="M32" si="21">K32*L32</f>
        <v>34.470300000000009</v>
      </c>
      <c r="N32" s="80">
        <f>IFERROR((IF(ISBLANK(C32),0,VLOOKUP(C32,TractorTable[],13,0))+IF(ISBLANK(D32),0,VLOOKUP(D32,ImplementTable[],13,0)))*((E32*L32)/FieldAcres_Planted),"")</f>
        <v>51.145578853746585</v>
      </c>
    </row>
    <row r="33" spans="2:14" ht="15.75" thickBot="1" x14ac:dyDescent="0.3">
      <c r="B33" s="93"/>
      <c r="C33" s="93"/>
      <c r="D33" s="93"/>
      <c r="E33" s="146" t="str">
        <f>IFERROR(((43560*FieldAcres_Planted)/VLOOKUP(D33,ImplementTable[],3,0))/(5280*VLOOKUP(D33,ImplementTable[],4,0))*1.1,"")</f>
        <v/>
      </c>
      <c r="F33" s="146" t="str">
        <f t="shared" ref="F33" si="22">IFERROR(0.5+(E33*0.2),"")</f>
        <v/>
      </c>
      <c r="G33" s="94"/>
      <c r="H33" s="95" t="str">
        <f>IFERROR(((IF(E33="",0,E33)+IF(F33="",0,F33))/FieldAcres_Planted)*VLOOKUP(G33,LaborTable[],4,0),"")</f>
        <v/>
      </c>
      <c r="I33" s="96" t="str">
        <f>IFERROR(VLOOKUP(VLOOKUP(C33,TractorTable[],3,0),FuelTable[],2,0)*VLOOKUP(C33,TractorTable[],15,0)*(E33/FieldAcres_Planted),"")</f>
        <v/>
      </c>
      <c r="J33" s="96" t="str">
        <f>IFERROR((IF(ISBLANK(C33),0,(VLOOKUP(C33,TractorTable[],14,0)))+IF(ISBLANK(D33),0,VLOOKUP(D33,ImplementTable[],14,0)))*(E33/FieldAcres_Planted),"")</f>
        <v/>
      </c>
      <c r="K33" s="97">
        <f t="shared" si="18"/>
        <v>0</v>
      </c>
      <c r="L33" s="98"/>
      <c r="M33" s="96">
        <f t="shared" si="19"/>
        <v>0</v>
      </c>
      <c r="N33" s="96" t="str">
        <f>IFERROR((IF(ISBLANK(C33),0,VLOOKUP(C33,TractorTable[],13,0))+IF(ISBLANK(D33),0,VLOOKUP(D33,ImplementTable[],13,0)))*((E33*L33)/FieldAcres_Planted),"")</f>
        <v/>
      </c>
    </row>
    <row r="34" spans="2:14" ht="15.75" thickBot="1" x14ac:dyDescent="0.3">
      <c r="B34" s="323" t="s">
        <v>370</v>
      </c>
      <c r="C34" s="324"/>
      <c r="D34" s="324"/>
      <c r="E34" s="324"/>
      <c r="F34" s="324"/>
      <c r="G34" s="324"/>
      <c r="H34" s="174">
        <f>SUMPRODUCT(H12:H33,$L12:$L33)</f>
        <v>84.795696637639082</v>
      </c>
      <c r="I34" s="174">
        <f>SUMPRODUCT(I12:I33,$L12:$L33)</f>
        <v>90.374086990163605</v>
      </c>
      <c r="J34" s="174">
        <f>SUMPRODUCT(J12:J33,$L12:$L33)</f>
        <v>65.415058827620925</v>
      </c>
      <c r="K34" s="175"/>
      <c r="L34" s="176"/>
      <c r="M34" s="177">
        <f>SUM(M12:M33)</f>
        <v>240.5848424554236</v>
      </c>
      <c r="N34" s="177">
        <f>SUM(N12:N33)</f>
        <v>335.65512095985611</v>
      </c>
    </row>
    <row r="36" spans="2:14" x14ac:dyDescent="0.25">
      <c r="B36" s="316" t="s">
        <v>298</v>
      </c>
      <c r="C36" s="316"/>
      <c r="D36" s="316"/>
      <c r="E36" s="316"/>
      <c r="F36" s="316"/>
      <c r="G36" s="316"/>
      <c r="H36" s="316"/>
      <c r="I36" s="316"/>
      <c r="J36" s="316"/>
      <c r="K36" s="316"/>
      <c r="L36" s="316"/>
      <c r="M36" s="316"/>
      <c r="N36" s="316"/>
    </row>
    <row r="37" spans="2:14" ht="45" x14ac:dyDescent="0.25">
      <c r="B37" s="6" t="s">
        <v>390</v>
      </c>
      <c r="C37" s="37" t="s">
        <v>47</v>
      </c>
      <c r="D37" s="37" t="s">
        <v>48</v>
      </c>
      <c r="E37" s="35" t="s">
        <v>49</v>
      </c>
      <c r="F37" s="35" t="s">
        <v>50</v>
      </c>
      <c r="G37" s="36" t="s">
        <v>21</v>
      </c>
      <c r="H37" s="34" t="s">
        <v>22</v>
      </c>
      <c r="I37" s="35" t="s">
        <v>23</v>
      </c>
      <c r="J37" s="35" t="s">
        <v>24</v>
      </c>
      <c r="K37" s="36" t="s">
        <v>25</v>
      </c>
      <c r="L37" s="34" t="s">
        <v>26</v>
      </c>
      <c r="M37" s="35" t="s">
        <v>27</v>
      </c>
      <c r="N37" s="35" t="s">
        <v>28</v>
      </c>
    </row>
    <row r="38" spans="2:14" x14ac:dyDescent="0.25">
      <c r="B38" s="76" t="s">
        <v>294</v>
      </c>
      <c r="C38" s="76" t="s">
        <v>53</v>
      </c>
      <c r="D38" s="76" t="str">
        <f>IFERROR(VLOOKUP(C38,VehicleTable[],3,0),"")</f>
        <v>Gasoline</v>
      </c>
      <c r="E38" s="76">
        <v>20</v>
      </c>
      <c r="F38" s="76">
        <v>0.5</v>
      </c>
      <c r="G38" s="89" t="s">
        <v>428</v>
      </c>
      <c r="H38" s="90">
        <f>IFERROR(F38*VLOOKUP(G38,LaborTable[],4,0)/FieldAcres_Planted,"")</f>
        <v>0.29819999999999997</v>
      </c>
      <c r="I38" s="80">
        <f>IFERROR(E38*VLOOKUP(C38,VehicleTable[],15,0)*VLOOKUP(D38,FuelTable[],2,0)/FieldAcres_Planted,"")</f>
        <v>7.6499999999999999E-2</v>
      </c>
      <c r="J38" s="80">
        <f>IFERROR(E38*VLOOKUP(C38,VehicleTable[],14,0)/FieldAcres_Planted,"")</f>
        <v>6.1199999999999997E-2</v>
      </c>
      <c r="K38" s="91">
        <f>SUM(H38:J38)</f>
        <v>0.43589999999999995</v>
      </c>
      <c r="L38" s="92">
        <v>56</v>
      </c>
      <c r="M38" s="80">
        <f>K38*L38</f>
        <v>24.410399999999996</v>
      </c>
      <c r="N38" s="80">
        <f>IFERROR(E38*L38*VLOOKUP(C38,VehicleTable[],13,0)/FieldAcres_Planted,"")</f>
        <v>13.844409481848164</v>
      </c>
    </row>
    <row r="39" spans="2:14" x14ac:dyDescent="0.25">
      <c r="B39" s="76" t="s">
        <v>450</v>
      </c>
      <c r="C39" s="76" t="s">
        <v>51</v>
      </c>
      <c r="D39" s="76" t="str">
        <f>IFERROR(VLOOKUP(C39,VehicleTable[],3,0),"")</f>
        <v>Gasoline</v>
      </c>
      <c r="E39" s="76">
        <v>20</v>
      </c>
      <c r="F39" s="76">
        <v>3</v>
      </c>
      <c r="G39" s="89" t="s">
        <v>428</v>
      </c>
      <c r="H39" s="90">
        <f>IFERROR(F39*VLOOKUP(G39,LaborTable[],4,0)/FieldAcres_Planted,"")</f>
        <v>1.7891999999999999</v>
      </c>
      <c r="I39" s="80">
        <f>IFERROR(E39*VLOOKUP(C39,VehicleTable[],15,0)*VLOOKUP(D39,FuelTable[],2,0)/FieldAcres_Planted,"")</f>
        <v>0.10251000000000002</v>
      </c>
      <c r="J39" s="80">
        <f>IFERROR(E39*VLOOKUP(C39,VehicleTable[],14,0)/FieldAcres_Planted,"")</f>
        <v>9.0800000000000006E-2</v>
      </c>
      <c r="K39" s="91">
        <f t="shared" ref="K39:K40" si="23">SUM(H39:J39)</f>
        <v>1.98251</v>
      </c>
      <c r="L39" s="92">
        <v>13</v>
      </c>
      <c r="M39" s="80">
        <f t="shared" ref="M39:M40" si="24">K39*L39</f>
        <v>25.772629999999999</v>
      </c>
      <c r="N39" s="80">
        <f>IFERROR(E39*L39*VLOOKUP(C39,VehicleTable[],13,0)/FieldAcres_Planted,"")</f>
        <v>3.5732999876726814</v>
      </c>
    </row>
    <row r="40" spans="2:14" x14ac:dyDescent="0.25">
      <c r="B40" s="76" t="s">
        <v>278</v>
      </c>
      <c r="C40" s="76" t="s">
        <v>53</v>
      </c>
      <c r="D40" s="76" t="str">
        <f>IFERROR(VLOOKUP(C40,VehicleTable[],3,0),"")</f>
        <v>Gasoline</v>
      </c>
      <c r="E40" s="76">
        <v>20</v>
      </c>
      <c r="F40" s="76">
        <v>1.5</v>
      </c>
      <c r="G40" s="89" t="s">
        <v>45</v>
      </c>
      <c r="H40" s="90">
        <f>IFERROR(F40*VLOOKUP(G40,LaborTable[],4,0)/FieldAcres_Planted,"")</f>
        <v>0.68264999999999998</v>
      </c>
      <c r="I40" s="80">
        <f>IFERROR(E40*VLOOKUP(C40,VehicleTable[],15,0)*VLOOKUP(D40,FuelTable[],2,0)/FieldAcres_Planted,"")</f>
        <v>7.6499999999999999E-2</v>
      </c>
      <c r="J40" s="80">
        <f>IFERROR(E40*VLOOKUP(C40,VehicleTable[],14,0)/FieldAcres_Planted,"")</f>
        <v>6.1199999999999997E-2</v>
      </c>
      <c r="K40" s="91">
        <f t="shared" si="23"/>
        <v>0.82035000000000002</v>
      </c>
      <c r="L40" s="92">
        <v>1</v>
      </c>
      <c r="M40" s="80">
        <f t="shared" si="24"/>
        <v>0.82035000000000002</v>
      </c>
      <c r="N40" s="80">
        <f>IFERROR(E40*L40*VLOOKUP(C40,VehicleTable[],13,0)/FieldAcres_Planted,"")</f>
        <v>0.24722159789014575</v>
      </c>
    </row>
    <row r="41" spans="2:14" x14ac:dyDescent="0.25">
      <c r="B41" s="76" t="s">
        <v>446</v>
      </c>
      <c r="C41" s="76" t="s">
        <v>53</v>
      </c>
      <c r="D41" s="76" t="str">
        <f>IFERROR(VLOOKUP(C41,VehicleTable[],3,0),"")</f>
        <v>Gasoline</v>
      </c>
      <c r="E41" s="76">
        <v>20</v>
      </c>
      <c r="F41" s="76">
        <v>8</v>
      </c>
      <c r="G41" s="89" t="s">
        <v>45</v>
      </c>
      <c r="H41" s="90">
        <f>IFERROR(F41*VLOOKUP(G41,LaborTable[],4,0)/FieldAcres_Planted,"")</f>
        <v>3.6408</v>
      </c>
      <c r="I41" s="80">
        <f>IFERROR(E41*VLOOKUP(C41,VehicleTable[],15,0)*VLOOKUP(D41,FuelTable[],2,0)/FieldAcres_Planted,"")</f>
        <v>7.6499999999999999E-2</v>
      </c>
      <c r="J41" s="80">
        <f>IFERROR(E41*VLOOKUP(C41,VehicleTable[],14,0)/FieldAcres_Planted,"")</f>
        <v>6.1199999999999997E-2</v>
      </c>
      <c r="K41" s="91">
        <f t="shared" ref="K41:K49" si="25">SUM(H41:J41)</f>
        <v>3.7784999999999997</v>
      </c>
      <c r="L41" s="92">
        <v>4</v>
      </c>
      <c r="M41" s="80">
        <f t="shared" ref="M41:M49" si="26">K41*L41</f>
        <v>15.113999999999999</v>
      </c>
      <c r="N41" s="80">
        <f>IFERROR(E41*L41*VLOOKUP(C41,VehicleTable[],13,0)/FieldAcres_Planted,"")</f>
        <v>0.988886391560583</v>
      </c>
    </row>
    <row r="42" spans="2:14" x14ac:dyDescent="0.25">
      <c r="B42" s="76" t="s">
        <v>293</v>
      </c>
      <c r="C42" s="76"/>
      <c r="D42" s="76" t="str">
        <f>IFERROR(VLOOKUP(C42,VehicleTable[],3,0),"")</f>
        <v/>
      </c>
      <c r="E42" s="76"/>
      <c r="F42" s="76">
        <v>320</v>
      </c>
      <c r="G42" s="89" t="s">
        <v>277</v>
      </c>
      <c r="H42" s="171">
        <f>IFERROR(F42*VLOOKUP(G42,LaborTable[],4,0)/FieldAcres_Planted,"")</f>
        <v>144</v>
      </c>
      <c r="I42" s="140" t="str">
        <f>IFERROR(E42*VLOOKUP(C42,VehicleTable[],15,0)*VLOOKUP(D42,FuelTable[],2,0)/FieldAcres_Planted,"")</f>
        <v/>
      </c>
      <c r="J42" s="140" t="str">
        <f>IFERROR(E42*VLOOKUP(C42,VehicleTable[],14,0)/FieldAcres_Planted,"")</f>
        <v/>
      </c>
      <c r="K42" s="172">
        <f t="shared" ref="K42:K43" si="27">SUM(H42:J42)</f>
        <v>144</v>
      </c>
      <c r="L42" s="173">
        <v>1</v>
      </c>
      <c r="M42" s="140">
        <f t="shared" ref="M42:M43" si="28">K42*L42</f>
        <v>144</v>
      </c>
      <c r="N42" s="140" t="str">
        <f>IFERROR(E42*L42*VLOOKUP(C42,VehicleTable[],13,0)/FieldAcres_Planted,"")</f>
        <v/>
      </c>
    </row>
    <row r="43" spans="2:14" ht="15.75" thickBot="1" x14ac:dyDescent="0.3">
      <c r="B43" s="76"/>
      <c r="C43" s="76"/>
      <c r="D43" s="76"/>
      <c r="E43" s="76"/>
      <c r="F43" s="76"/>
      <c r="G43" s="89"/>
      <c r="H43" s="171" t="str">
        <f>IFERROR(F43*VLOOKUP(G43,LaborTable[],4,0)/FieldAcres_Planted,"")</f>
        <v/>
      </c>
      <c r="I43" s="140" t="str">
        <f>IFERROR(E43*VLOOKUP(C43,VehicleTable[],15,0)*VLOOKUP(D43,FuelTable[],2,0)/FieldAcres_Planted,"")</f>
        <v/>
      </c>
      <c r="J43" s="140" t="str">
        <f>IFERROR(E43*VLOOKUP(C43,VehicleTable[],14,0)/FieldAcres_Planted,"")</f>
        <v/>
      </c>
      <c r="K43" s="172">
        <f t="shared" si="27"/>
        <v>0</v>
      </c>
      <c r="L43" s="173"/>
      <c r="M43" s="140">
        <f t="shared" si="28"/>
        <v>0</v>
      </c>
      <c r="N43" s="140" t="str">
        <f>IFERROR(E43*L43*VLOOKUP(C43,VehicleTable[],13,0)/FieldAcres_Planted,"")</f>
        <v/>
      </c>
    </row>
    <row r="44" spans="2:14" ht="15.75" thickBot="1" x14ac:dyDescent="0.3">
      <c r="B44" s="323" t="s">
        <v>370</v>
      </c>
      <c r="C44" s="324"/>
      <c r="D44" s="324"/>
      <c r="E44" s="324"/>
      <c r="F44" s="324"/>
      <c r="G44" s="324"/>
      <c r="H44" s="174">
        <f>SUMPRODUCT(H38:H43,$L38:$L43)</f>
        <v>199.20465000000002</v>
      </c>
      <c r="I44" s="174">
        <f>SUMPRODUCT(I38:I43,$L38:$L43)</f>
        <v>5.9991300000000001</v>
      </c>
      <c r="J44" s="174">
        <f>SUMPRODUCT(J38:J43,$L38:$L43)</f>
        <v>4.9135999999999997</v>
      </c>
      <c r="K44" s="179"/>
      <c r="L44" s="176"/>
      <c r="M44" s="177">
        <f>SUM(M38:M43)</f>
        <v>210.11738</v>
      </c>
      <c r="N44" s="177">
        <f>SUM(N38:N43)</f>
        <v>18.653817458971574</v>
      </c>
    </row>
    <row r="45" spans="2:14" ht="45" x14ac:dyDescent="0.25">
      <c r="B45" s="6" t="s">
        <v>391</v>
      </c>
      <c r="C45" s="37" t="s">
        <v>47</v>
      </c>
      <c r="D45" s="37" t="s">
        <v>48</v>
      </c>
      <c r="E45" s="35" t="s">
        <v>49</v>
      </c>
      <c r="F45" s="35" t="s">
        <v>50</v>
      </c>
      <c r="G45" s="36" t="s">
        <v>21</v>
      </c>
      <c r="H45" s="34" t="s">
        <v>22</v>
      </c>
      <c r="I45" s="35" t="s">
        <v>23</v>
      </c>
      <c r="J45" s="35" t="s">
        <v>24</v>
      </c>
      <c r="K45" s="36" t="s">
        <v>25</v>
      </c>
      <c r="L45" s="34" t="s">
        <v>26</v>
      </c>
      <c r="M45" s="35" t="s">
        <v>27</v>
      </c>
      <c r="N45" s="35" t="s">
        <v>28</v>
      </c>
    </row>
    <row r="46" spans="2:14" x14ac:dyDescent="0.25">
      <c r="B46" s="76" t="s">
        <v>387</v>
      </c>
      <c r="C46" s="76" t="s">
        <v>51</v>
      </c>
      <c r="D46" s="76" t="str">
        <f>IFERROR(VLOOKUP(C46,VehicleTable[],3,0),"")</f>
        <v>Gasoline</v>
      </c>
      <c r="E46" s="76">
        <v>20</v>
      </c>
      <c r="F46" s="76">
        <v>1</v>
      </c>
      <c r="G46" s="89" t="s">
        <v>318</v>
      </c>
      <c r="H46" s="171">
        <f>IFERROR(F46*VLOOKUP(G46,LaborTable[],4,0)/FieldAcres_Planted,"")</f>
        <v>1.4960999999999998</v>
      </c>
      <c r="I46" s="140">
        <f>IFERROR(E46*VLOOKUP(C46,VehicleTable[],15,0)*VLOOKUP(D46,FuelTable[],2,0)/FieldAcres_Planted,"")</f>
        <v>0.10251000000000002</v>
      </c>
      <c r="J46" s="140">
        <f>IFERROR(E46*VLOOKUP(C46,VehicleTable[],14,0)/FieldAcres_Planted,"")</f>
        <v>9.0800000000000006E-2</v>
      </c>
      <c r="K46" s="172">
        <f t="shared" ref="K46:K48" si="29">SUM(H46:J46)</f>
        <v>1.6894099999999999</v>
      </c>
      <c r="L46" s="173">
        <v>55</v>
      </c>
      <c r="M46" s="140">
        <f t="shared" si="26"/>
        <v>92.917549999999991</v>
      </c>
      <c r="N46" s="140">
        <f>IFERROR(E46*L46*VLOOKUP(C46,VehicleTable[],13,0)/FieldAcres_Planted,"")</f>
        <v>15.117807640153652</v>
      </c>
    </row>
    <row r="47" spans="2:14" x14ac:dyDescent="0.25">
      <c r="B47" s="76"/>
      <c r="C47" s="76"/>
      <c r="D47" s="76" t="str">
        <f>IFERROR(VLOOKUP(C47,VehicleTable[],3,0),"")</f>
        <v/>
      </c>
      <c r="E47" s="76"/>
      <c r="F47" s="76"/>
      <c r="G47" s="89"/>
      <c r="H47" s="171" t="str">
        <f>IFERROR(F47*VLOOKUP(G47,LaborTable[],4,0)/FieldAcres_Planted,"")</f>
        <v/>
      </c>
      <c r="I47" s="140" t="str">
        <f>IFERROR(E47*VLOOKUP(C47,VehicleTable[],15,0)*VLOOKUP(D47,FuelTable[],2,0)/FieldAcres_Planted,"")</f>
        <v/>
      </c>
      <c r="J47" s="140" t="str">
        <f>IFERROR(E47*VLOOKUP(C47,VehicleTable[],14,0)/FieldAcres_Planted,"")</f>
        <v/>
      </c>
      <c r="K47" s="172">
        <f t="shared" si="29"/>
        <v>0</v>
      </c>
      <c r="L47" s="173"/>
      <c r="M47" s="140">
        <f t="shared" si="26"/>
        <v>0</v>
      </c>
      <c r="N47" s="140" t="str">
        <f>IFERROR(E47*L47*VLOOKUP(C47,VehicleTable[],13,0)/FieldAcres_Planted,"")</f>
        <v/>
      </c>
    </row>
    <row r="48" spans="2:14" x14ac:dyDescent="0.25">
      <c r="B48" s="76"/>
      <c r="C48" s="76"/>
      <c r="D48" s="76" t="str">
        <f>IFERROR(VLOOKUP(C48,VehicleTable[],3,0),"")</f>
        <v/>
      </c>
      <c r="E48" s="76"/>
      <c r="F48" s="76"/>
      <c r="G48" s="89"/>
      <c r="H48" s="171" t="str">
        <f>IFERROR(F48*VLOOKUP(G48,LaborTable[],4,0)/FieldAcres_Planted,"")</f>
        <v/>
      </c>
      <c r="I48" s="140" t="str">
        <f>IFERROR(E48*VLOOKUP(C48,VehicleTable[],15,0)*VLOOKUP(D48,FuelTable[],2,0)/FieldAcres_Planted,"")</f>
        <v/>
      </c>
      <c r="J48" s="140" t="str">
        <f>IFERROR(E48*VLOOKUP(C48,VehicleTable[],14,0)/FieldAcres_Planted,"")</f>
        <v/>
      </c>
      <c r="K48" s="172">
        <f t="shared" si="29"/>
        <v>0</v>
      </c>
      <c r="L48" s="173"/>
      <c r="M48" s="140">
        <f t="shared" si="26"/>
        <v>0</v>
      </c>
      <c r="N48" s="140" t="str">
        <f>IFERROR(E48*L48*VLOOKUP(C48,VehicleTable[],13,0)/FieldAcres_Planted,"")</f>
        <v/>
      </c>
    </row>
    <row r="49" spans="2:14" ht="15.75" thickBot="1" x14ac:dyDescent="0.3">
      <c r="B49" s="76"/>
      <c r="C49" s="76"/>
      <c r="D49" s="76" t="str">
        <f>IFERROR(VLOOKUP(C49,VehicleTable[],3,0),"")</f>
        <v/>
      </c>
      <c r="E49" s="76"/>
      <c r="F49" s="76"/>
      <c r="G49" s="89"/>
      <c r="H49" s="171" t="str">
        <f>IFERROR(F49*VLOOKUP(G49,LaborTable[],4,0)/FieldAcres_Planted,"")</f>
        <v/>
      </c>
      <c r="I49" s="140" t="str">
        <f>IFERROR(E49*VLOOKUP(C49,VehicleTable[],15,0)*VLOOKUP(D49,FuelTable[],2,0)/FieldAcres_Planted,"")</f>
        <v/>
      </c>
      <c r="J49" s="140" t="str">
        <f>IFERROR(E49*VLOOKUP(C49,VehicleTable[],14,0)/FieldAcres_Planted,"")</f>
        <v/>
      </c>
      <c r="K49" s="172">
        <f t="shared" si="25"/>
        <v>0</v>
      </c>
      <c r="L49" s="173"/>
      <c r="M49" s="140">
        <f t="shared" si="26"/>
        <v>0</v>
      </c>
      <c r="N49" s="140" t="str">
        <f>IFERROR(E49*L49*VLOOKUP(C49,VehicleTable[],13,0)/FieldAcres_Planted,"")</f>
        <v/>
      </c>
    </row>
    <row r="50" spans="2:14" ht="15.75" thickBot="1" x14ac:dyDescent="0.3">
      <c r="B50" s="323" t="s">
        <v>370</v>
      </c>
      <c r="C50" s="324"/>
      <c r="D50" s="324"/>
      <c r="E50" s="324"/>
      <c r="F50" s="324"/>
      <c r="G50" s="324"/>
      <c r="H50" s="174">
        <f>SUMPRODUCT(H46:H49,$L46:$L49)</f>
        <v>82.285499999999985</v>
      </c>
      <c r="I50" s="174">
        <f>SUMPRODUCT(I46:I49,$L46:$L49)</f>
        <v>5.6380500000000007</v>
      </c>
      <c r="J50" s="174">
        <f>SUMPRODUCT(J46:J49,$L46:$L49)</f>
        <v>4.9940000000000007</v>
      </c>
      <c r="K50" s="179"/>
      <c r="L50" s="176"/>
      <c r="M50" s="177">
        <f>SUM(M46:M49)</f>
        <v>92.917549999999991</v>
      </c>
      <c r="N50" s="177">
        <f>SUM(N46:N49)</f>
        <v>15.117807640153652</v>
      </c>
    </row>
    <row r="52" spans="2:14" x14ac:dyDescent="0.25">
      <c r="B52" s="316" t="s">
        <v>54</v>
      </c>
      <c r="C52" s="316"/>
      <c r="D52" s="316"/>
      <c r="E52" s="316"/>
      <c r="F52" s="316"/>
      <c r="G52" s="316"/>
    </row>
    <row r="53" spans="2:14" ht="30" x14ac:dyDescent="0.25">
      <c r="B53" s="6" t="s">
        <v>371</v>
      </c>
      <c r="C53" s="6" t="s">
        <v>55</v>
      </c>
      <c r="D53" s="6" t="s">
        <v>56</v>
      </c>
      <c r="E53" s="35" t="s">
        <v>57</v>
      </c>
      <c r="F53" s="35" t="s">
        <v>58</v>
      </c>
      <c r="G53" s="35" t="s">
        <v>27</v>
      </c>
    </row>
    <row r="54" spans="2:14" x14ac:dyDescent="0.25">
      <c r="B54" s="76" t="s">
        <v>59</v>
      </c>
      <c r="C54" s="76" t="str">
        <f>IFERROR(VLOOKUP($B54,CustomServiceTable[],2,FALSE),"")</f>
        <v>weekly</v>
      </c>
      <c r="D54" s="76" t="str">
        <f>IFERROR(VLOOKUP($B54,CustomServiceTable[],3,FALSE),"")</f>
        <v>acre</v>
      </c>
      <c r="E54" s="77">
        <f>IFERROR(VLOOKUP($B54,CustomServiceTable[],4,FALSE),"")</f>
        <v>30</v>
      </c>
      <c r="F54" s="76">
        <v>1</v>
      </c>
      <c r="G54" s="80">
        <f>IF(F54&gt;0,E54*F54,"")</f>
        <v>30</v>
      </c>
      <c r="N54" s="17"/>
    </row>
    <row r="55" spans="2:14" x14ac:dyDescent="0.25">
      <c r="B55" s="76" t="s">
        <v>279</v>
      </c>
      <c r="C55" s="76" t="str">
        <f>IFERROR(VLOOKUP($B55,CustomServiceTable[],2,FALSE),"")</f>
        <v>standard</v>
      </c>
      <c r="D55" s="76" t="str">
        <f>IFERROR(VLOOKUP($B55,CustomServiceTable[],3,FALSE),"")</f>
        <v>each</v>
      </c>
      <c r="E55" s="77">
        <f>IFERROR(VLOOKUP($B55,CustomServiceTable[],4,FALSE),"")</f>
        <v>15</v>
      </c>
      <c r="F55" s="76">
        <v>0.2</v>
      </c>
      <c r="G55" s="80">
        <f t="shared" ref="G55:G58" si="30">IF(F55&gt;0,E55*F55,"")</f>
        <v>3</v>
      </c>
    </row>
    <row r="56" spans="2:14" x14ac:dyDescent="0.25">
      <c r="B56" s="76"/>
      <c r="C56" s="76"/>
      <c r="D56" s="76"/>
      <c r="E56" s="77"/>
      <c r="F56" s="76"/>
      <c r="G56" s="80" t="str">
        <f t="shared" si="30"/>
        <v/>
      </c>
    </row>
    <row r="57" spans="2:14" x14ac:dyDescent="0.25">
      <c r="B57" s="76"/>
      <c r="C57" s="76" t="str">
        <f>IFERROR(VLOOKUP($B57,CustomServiceTable[],2,FALSE),"")</f>
        <v/>
      </c>
      <c r="D57" s="76" t="str">
        <f>IFERROR(VLOOKUP($B57,CustomServiceTable[],3,FALSE),"")</f>
        <v/>
      </c>
      <c r="E57" s="77" t="str">
        <f>IFERROR(VLOOKUP($B57,CustomServiceTable[],4,FALSE),"")</f>
        <v/>
      </c>
      <c r="F57" s="76"/>
      <c r="G57" s="80" t="str">
        <f t="shared" si="30"/>
        <v/>
      </c>
    </row>
    <row r="58" spans="2:14" x14ac:dyDescent="0.25">
      <c r="B58" s="76"/>
      <c r="C58" s="76" t="str">
        <f>IFERROR(VLOOKUP($B58,CustomServiceTable[],2,FALSE),"")</f>
        <v/>
      </c>
      <c r="D58" s="76" t="str">
        <f>IFERROR(VLOOKUP($B58,CustomServiceTable[],3,FALSE),"")</f>
        <v/>
      </c>
      <c r="E58" s="77" t="str">
        <f>IFERROR(VLOOKUP($B58,CustomServiceTable[],4,FALSE),"")</f>
        <v/>
      </c>
      <c r="F58" s="76"/>
      <c r="G58" s="80" t="str">
        <f t="shared" si="30"/>
        <v/>
      </c>
    </row>
    <row r="59" spans="2:14" x14ac:dyDescent="0.25">
      <c r="B59" s="304" t="s">
        <v>8</v>
      </c>
      <c r="C59" s="305"/>
      <c r="D59" s="305"/>
      <c r="E59" s="305"/>
      <c r="F59" s="306"/>
      <c r="G59" s="74">
        <f>SUM(G54:G58)</f>
        <v>33</v>
      </c>
    </row>
    <row r="61" spans="2:14" ht="15.75" thickBot="1" x14ac:dyDescent="0.3">
      <c r="B61" s="329" t="s">
        <v>430</v>
      </c>
      <c r="C61" s="330"/>
      <c r="D61" s="330"/>
      <c r="E61" s="330"/>
      <c r="F61" s="331"/>
      <c r="G61" s="231" t="s">
        <v>27</v>
      </c>
    </row>
    <row r="62" spans="2:14" x14ac:dyDescent="0.25">
      <c r="B62" s="332" t="s">
        <v>431</v>
      </c>
      <c r="C62" s="333"/>
      <c r="D62" s="333"/>
      <c r="E62" s="333"/>
      <c r="F62" s="334"/>
      <c r="G62" s="232">
        <f>CustomCostPerAcre</f>
        <v>33</v>
      </c>
    </row>
    <row r="63" spans="2:14" x14ac:dyDescent="0.25">
      <c r="B63" s="287" t="s">
        <v>383</v>
      </c>
      <c r="C63" s="288"/>
      <c r="D63" s="288"/>
      <c r="E63" s="288"/>
      <c r="F63" s="289"/>
      <c r="G63" s="49">
        <f>H8+H34+H44</f>
        <v>287.4135966376391</v>
      </c>
    </row>
    <row r="64" spans="2:14" x14ac:dyDescent="0.25">
      <c r="B64" s="287" t="s">
        <v>388</v>
      </c>
      <c r="C64" s="288"/>
      <c r="D64" s="288"/>
      <c r="E64" s="288"/>
      <c r="F64" s="289"/>
      <c r="G64" s="49">
        <f>H50</f>
        <v>82.285499999999985</v>
      </c>
    </row>
    <row r="65" spans="2:7" x14ac:dyDescent="0.25">
      <c r="B65" s="287" t="s">
        <v>433</v>
      </c>
      <c r="C65" s="288"/>
      <c r="D65" s="288"/>
      <c r="E65" s="288"/>
      <c r="F65" s="289"/>
      <c r="G65" s="49">
        <f>IrrigPowerCostPerAcre</f>
        <v>23.086199999999998</v>
      </c>
    </row>
    <row r="66" spans="2:7" x14ac:dyDescent="0.25">
      <c r="B66" s="287" t="s">
        <v>385</v>
      </c>
      <c r="C66" s="288"/>
      <c r="D66" s="288"/>
      <c r="E66" s="288"/>
      <c r="F66" s="289"/>
      <c r="G66" s="49">
        <f>IrrigRepairCostPerAcre</f>
        <v>3</v>
      </c>
    </row>
    <row r="67" spans="2:7" x14ac:dyDescent="0.25">
      <c r="B67" s="287" t="s">
        <v>432</v>
      </c>
      <c r="C67" s="288"/>
      <c r="D67" s="288"/>
      <c r="E67" s="288"/>
      <c r="F67" s="289"/>
      <c r="G67" s="49">
        <f>I34+I44+I50</f>
        <v>102.01126699016361</v>
      </c>
    </row>
    <row r="68" spans="2:7" x14ac:dyDescent="0.25">
      <c r="B68" s="287" t="s">
        <v>386</v>
      </c>
      <c r="C68" s="288"/>
      <c r="D68" s="288"/>
      <c r="E68" s="288"/>
      <c r="F68" s="289"/>
      <c r="G68" s="49">
        <f>J34+J44+J50</f>
        <v>75.322658827620927</v>
      </c>
    </row>
    <row r="69" spans="2:7" x14ac:dyDescent="0.25">
      <c r="B69" s="287" t="s">
        <v>315</v>
      </c>
      <c r="C69" s="288"/>
      <c r="D69" s="288"/>
      <c r="E69" s="288"/>
      <c r="F69" s="289"/>
      <c r="G69" s="49">
        <f>MachineryFixedCostPerAcre_Preharvest</f>
        <v>335.65512095985611</v>
      </c>
    </row>
    <row r="70" spans="2:7" ht="15.75" thickBot="1" x14ac:dyDescent="0.3">
      <c r="B70" s="335" t="s">
        <v>5</v>
      </c>
      <c r="C70" s="336"/>
      <c r="D70" s="336"/>
      <c r="E70" s="336"/>
      <c r="F70" s="337"/>
      <c r="G70" s="233">
        <f>N44+N50</f>
        <v>33.771625099125224</v>
      </c>
    </row>
    <row r="71" spans="2:7" x14ac:dyDescent="0.25">
      <c r="B71" s="338" t="s">
        <v>451</v>
      </c>
      <c r="C71" s="338"/>
      <c r="D71" s="338"/>
      <c r="E71" s="338"/>
      <c r="F71" s="338"/>
      <c r="G71" s="84">
        <f>SUM(G62:G70)</f>
        <v>975.54596851440488</v>
      </c>
    </row>
    <row r="73" spans="2:7" x14ac:dyDescent="0.25">
      <c r="B73" s="328" t="s">
        <v>60</v>
      </c>
      <c r="C73" s="328"/>
      <c r="D73" s="328"/>
      <c r="E73" s="328"/>
      <c r="F73" s="328"/>
      <c r="G73" s="328"/>
    </row>
  </sheetData>
  <mergeCells count="26">
    <mergeCell ref="B73:G73"/>
    <mergeCell ref="B61:F61"/>
    <mergeCell ref="B36:N36"/>
    <mergeCell ref="B52:G52"/>
    <mergeCell ref="B62:F62"/>
    <mergeCell ref="B63:F63"/>
    <mergeCell ref="B64:F64"/>
    <mergeCell ref="B65:F65"/>
    <mergeCell ref="B66:F66"/>
    <mergeCell ref="B67:F67"/>
    <mergeCell ref="B68:F68"/>
    <mergeCell ref="B69:F69"/>
    <mergeCell ref="B70:F70"/>
    <mergeCell ref="B71:F71"/>
    <mergeCell ref="B1:N1"/>
    <mergeCell ref="B59:F59"/>
    <mergeCell ref="B10:N10"/>
    <mergeCell ref="B4:D4"/>
    <mergeCell ref="B5:D5"/>
    <mergeCell ref="B6:D6"/>
    <mergeCell ref="B7:D7"/>
    <mergeCell ref="B8:D8"/>
    <mergeCell ref="B34:G34"/>
    <mergeCell ref="B50:G50"/>
    <mergeCell ref="B3:M3"/>
    <mergeCell ref="B44:G44"/>
  </mergeCells>
  <dataValidations count="8">
    <dataValidation type="list" errorStyle="warning" allowBlank="1" showInputMessage="1" showErrorMessage="1" error="Select from dropdown" sqref="G5:G7" xr:uid="{28660114-F032-4F2A-A98D-7B490F2898D1}">
      <formula1>LaborTypes</formula1>
    </dataValidation>
    <dataValidation type="list" errorStyle="information" allowBlank="1" showInputMessage="1" showErrorMessage="1" error="Select a truck from the dropdown" sqref="C46:C49 C38:C43" xr:uid="{CC045F31-57A2-48C1-8843-069E6D949A21}">
      <formula1>Vehicles</formula1>
    </dataValidation>
    <dataValidation type="list" errorStyle="information" allowBlank="1" showInputMessage="1" showErrorMessage="1" error="Select from dropdown" sqref="G46:G49 G38:G43" xr:uid="{DFF5C961-F1F9-4E6B-8D03-B0D7A72D0D00}">
      <formula1>LaborTypes</formula1>
    </dataValidation>
    <dataValidation type="list" errorStyle="warning" allowBlank="1" showInputMessage="1" showErrorMessage="1" error="Select from dropdown" sqref="D46:D49 D38:D43" xr:uid="{47A4D41E-6EB5-4F5F-86C6-DA8B9640941E}">
      <formula1>FuelTypes</formula1>
    </dataValidation>
    <dataValidation type="list" errorStyle="information" allowBlank="1" showInputMessage="1" showErrorMessage="1" error="Select from dropdown or enter description of service" sqref="B54:B58" xr:uid="{90273AE9-2E09-47E5-A1A6-B80540C1C194}">
      <formula1>CustomServices</formula1>
    </dataValidation>
    <dataValidation type="list" errorStyle="information" allowBlank="1" showInputMessage="1" showErrorMessage="1" error="Select from dropdown or enter tractor type" sqref="C12:C33" xr:uid="{A1FB04BE-12CC-4592-A199-8EE793426A32}">
      <formula1>Tractors</formula1>
    </dataValidation>
    <dataValidation type="list" errorStyle="information" allowBlank="1" showInputMessage="1" showErrorMessage="1" error="Select from dropdown or enter implement type" sqref="D12:D33" xr:uid="{991D5378-9F7D-411F-8234-1331B38B50CA}">
      <formula1>Implements</formula1>
    </dataValidation>
    <dataValidation type="list" errorStyle="information" allowBlank="1" showInputMessage="1" showErrorMessage="1" error="Select from dropdown for labor cost to calculate" sqref="G12:G33" xr:uid="{7AEC793E-1EA7-40DA-BDC4-3EDBF48B65FC}">
      <formula1>LaborTypes</formula1>
    </dataValidation>
  </dataValidations>
  <pageMargins left="0.7" right="0.7" top="0.75" bottom="0.75" header="0.3" footer="0.3"/>
  <ignoredErrors>
    <ignoredError sqref="C57:E58 H5:K7 M5:M7 E29:F29 F23:F24 C54:F55 H31:K31 E33:F33 H34:J34 G54:G58 H32:K33 H38:K41 D38:D39 M44:N44 H44:J44 D46:D49 H46:K49 M46:N50 H50:J50 M32:N34 H26:K30 M19:N24 H19:K24 H12:K17 M12:N17 F13:F22 H18:N18 H25:K25 F25:F27 M26:N30 M38:N41 D40:D42 M25:N25 F12 E12:E22 E25:E27 H42:K43 M42:N43 M31:N3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E28"/>
  <sheetViews>
    <sheetView zoomScale="120" zoomScaleNormal="120" workbookViewId="0"/>
  </sheetViews>
  <sheetFormatPr defaultColWidth="8.85546875" defaultRowHeight="15" x14ac:dyDescent="0.25"/>
  <cols>
    <col min="1" max="1" width="4.7109375" style="16" customWidth="1"/>
    <col min="2" max="2" width="32.7109375" style="16" customWidth="1"/>
    <col min="3" max="4" width="22.7109375" style="16" customWidth="1"/>
    <col min="5" max="5" width="21.7109375" style="16" customWidth="1"/>
    <col min="6" max="16384" width="8.85546875" style="16"/>
  </cols>
  <sheetData>
    <row r="1" spans="2:5" ht="19.5" thickBot="1" x14ac:dyDescent="0.35">
      <c r="B1" s="290" t="s">
        <v>262</v>
      </c>
      <c r="C1" s="290"/>
      <c r="D1" s="290"/>
      <c r="E1" s="290"/>
    </row>
    <row r="2" spans="2:5" x14ac:dyDescent="0.25">
      <c r="E2" s="16" t="s">
        <v>154</v>
      </c>
    </row>
    <row r="3" spans="2:5" x14ac:dyDescent="0.25">
      <c r="B3" s="261" t="s">
        <v>270</v>
      </c>
      <c r="C3" s="261"/>
      <c r="D3" s="261"/>
      <c r="E3" s="261"/>
    </row>
    <row r="4" spans="2:5" x14ac:dyDescent="0.25">
      <c r="B4" s="46" t="s">
        <v>61</v>
      </c>
      <c r="C4" s="46" t="s">
        <v>413</v>
      </c>
      <c r="D4" s="47" t="s">
        <v>62</v>
      </c>
      <c r="E4" s="47" t="s">
        <v>1</v>
      </c>
    </row>
    <row r="5" spans="2:5" x14ac:dyDescent="0.25">
      <c r="B5" s="76" t="s">
        <v>209</v>
      </c>
      <c r="C5" s="76" t="s">
        <v>210</v>
      </c>
      <c r="D5" s="76">
        <v>40</v>
      </c>
      <c r="E5" s="76">
        <v>40</v>
      </c>
    </row>
    <row r="6" spans="2:5" x14ac:dyDescent="0.25">
      <c r="B6" s="261" t="s">
        <v>63</v>
      </c>
      <c r="C6" s="261"/>
      <c r="D6" s="261"/>
      <c r="E6" s="7" t="s">
        <v>64</v>
      </c>
    </row>
    <row r="7" spans="2:5" x14ac:dyDescent="0.25">
      <c r="B7" s="301" t="s">
        <v>211</v>
      </c>
      <c r="C7" s="302"/>
      <c r="D7" s="303"/>
      <c r="E7" s="76">
        <v>1</v>
      </c>
    </row>
    <row r="8" spans="2:5" x14ac:dyDescent="0.25">
      <c r="B8" s="6" t="s">
        <v>65</v>
      </c>
      <c r="C8" s="7" t="s">
        <v>66</v>
      </c>
      <c r="D8" s="7" t="s">
        <v>67</v>
      </c>
      <c r="E8" s="7" t="s">
        <v>68</v>
      </c>
    </row>
    <row r="9" spans="2:5" x14ac:dyDescent="0.25">
      <c r="B9" s="76" t="s">
        <v>212</v>
      </c>
      <c r="C9" s="76">
        <v>6</v>
      </c>
      <c r="D9" s="76">
        <v>50</v>
      </c>
      <c r="E9" s="76">
        <v>30</v>
      </c>
    </row>
    <row r="10" spans="2:5" x14ac:dyDescent="0.25">
      <c r="B10" s="6" t="s">
        <v>69</v>
      </c>
      <c r="C10" s="7" t="s">
        <v>70</v>
      </c>
      <c r="D10" s="7" t="s">
        <v>71</v>
      </c>
      <c r="E10" s="7" t="s">
        <v>72</v>
      </c>
    </row>
    <row r="11" spans="2:5" x14ac:dyDescent="0.25">
      <c r="B11" s="76" t="s">
        <v>73</v>
      </c>
      <c r="C11" s="102">
        <v>15</v>
      </c>
      <c r="D11" s="103" t="str">
        <f>IF($B11="Diesel",INDEX(IrrigDieselUseTable,MATCH($D9,IrrigDieselLiftFeet,0),MATCH($E9,IrrigDieselPSI,0)),"")</f>
        <v/>
      </c>
      <c r="E11" s="103">
        <f>IF($B11="Electric",INDEX(IrrigElectricUseTable,MATCH($D9,IrrigElectricLiftFeet,0),MATCH($E9,IrrigElectricPSI,0)),"")</f>
        <v>19.238499999999998</v>
      </c>
    </row>
    <row r="12" spans="2:5" x14ac:dyDescent="0.25">
      <c r="B12" s="6" t="s">
        <v>74</v>
      </c>
      <c r="C12" s="261" t="s">
        <v>75</v>
      </c>
      <c r="D12" s="261"/>
      <c r="E12" s="261"/>
    </row>
    <row r="13" spans="2:5" x14ac:dyDescent="0.25">
      <c r="B13" s="104">
        <f>IF(B11="Diesel",D11*DieselOR_CostPerGal,IF(B11="Electric",E11*Electric_VarCostPerKWH,""))</f>
        <v>2.3086199999999999</v>
      </c>
      <c r="C13" s="341">
        <v>0.3</v>
      </c>
      <c r="D13" s="341"/>
      <c r="E13" s="341"/>
    </row>
    <row r="15" spans="2:5" x14ac:dyDescent="0.25">
      <c r="B15" s="6" t="s">
        <v>76</v>
      </c>
      <c r="C15" s="76" t="s">
        <v>454</v>
      </c>
    </row>
    <row r="17" spans="2:5" x14ac:dyDescent="0.25">
      <c r="B17" s="261" t="s">
        <v>273</v>
      </c>
      <c r="C17" s="261"/>
      <c r="D17" s="261"/>
      <c r="E17" s="261"/>
    </row>
    <row r="18" spans="2:5" x14ac:dyDescent="0.25">
      <c r="B18" s="10" t="s">
        <v>274</v>
      </c>
      <c r="C18" s="20"/>
      <c r="D18" s="12" t="s">
        <v>77</v>
      </c>
      <c r="E18" s="11" t="s">
        <v>12</v>
      </c>
    </row>
    <row r="19" spans="2:5" x14ac:dyDescent="0.25">
      <c r="B19" s="339" t="s">
        <v>78</v>
      </c>
      <c r="C19" s="339"/>
      <c r="D19" s="105">
        <v>8840</v>
      </c>
      <c r="E19" s="78">
        <f t="shared" ref="E19:E26" si="0">IFERROR(D19/FieldAcres_Planted/CashCropsPerYear,"")</f>
        <v>221</v>
      </c>
    </row>
    <row r="20" spans="2:5" x14ac:dyDescent="0.25">
      <c r="B20" s="339" t="s">
        <v>271</v>
      </c>
      <c r="C20" s="339"/>
      <c r="D20" s="105"/>
      <c r="E20" s="78">
        <f t="shared" si="0"/>
        <v>0</v>
      </c>
    </row>
    <row r="21" spans="2:5" x14ac:dyDescent="0.25">
      <c r="B21" s="339" t="s">
        <v>79</v>
      </c>
      <c r="C21" s="339"/>
      <c r="D21" s="105"/>
      <c r="E21" s="78">
        <f t="shared" si="0"/>
        <v>0</v>
      </c>
    </row>
    <row r="22" spans="2:5" x14ac:dyDescent="0.25">
      <c r="B22" s="301" t="s">
        <v>80</v>
      </c>
      <c r="C22" s="303"/>
      <c r="D22" s="105"/>
      <c r="E22" s="78">
        <f t="shared" si="0"/>
        <v>0</v>
      </c>
    </row>
    <row r="23" spans="2:5" x14ac:dyDescent="0.25">
      <c r="B23" s="89" t="s">
        <v>272</v>
      </c>
      <c r="C23" s="99"/>
      <c r="D23" s="105"/>
      <c r="E23" s="78">
        <f t="shared" si="0"/>
        <v>0</v>
      </c>
    </row>
    <row r="24" spans="2:5" x14ac:dyDescent="0.25">
      <c r="B24" s="89" t="s">
        <v>275</v>
      </c>
      <c r="C24" s="99"/>
      <c r="D24" s="105"/>
      <c r="E24" s="78">
        <f t="shared" si="0"/>
        <v>0</v>
      </c>
    </row>
    <row r="25" spans="2:5" ht="16.5" x14ac:dyDescent="0.25">
      <c r="B25" s="339" t="s">
        <v>81</v>
      </c>
      <c r="C25" s="339"/>
      <c r="D25" s="105"/>
      <c r="E25" s="78">
        <f t="shared" si="0"/>
        <v>0</v>
      </c>
    </row>
    <row r="26" spans="2:5" x14ac:dyDescent="0.25">
      <c r="B26" s="339"/>
      <c r="C26" s="339"/>
      <c r="D26" s="105"/>
      <c r="E26" s="78">
        <f t="shared" si="0"/>
        <v>0</v>
      </c>
    </row>
    <row r="27" spans="2:5" x14ac:dyDescent="0.25">
      <c r="B27" s="340" t="s">
        <v>82</v>
      </c>
      <c r="C27" s="340"/>
      <c r="D27" s="52">
        <f>SUM(D19:D26)</f>
        <v>8840</v>
      </c>
      <c r="E27" s="52">
        <f>SUM(E19:E26)</f>
        <v>221</v>
      </c>
    </row>
    <row r="28" spans="2:5" ht="16.5" x14ac:dyDescent="0.25">
      <c r="B28" s="57" t="s">
        <v>83</v>
      </c>
      <c r="C28" s="57"/>
      <c r="D28" s="57"/>
      <c r="E28" s="57"/>
    </row>
  </sheetData>
  <mergeCells count="14">
    <mergeCell ref="B19:C19"/>
    <mergeCell ref="B20:C20"/>
    <mergeCell ref="B1:E1"/>
    <mergeCell ref="B27:C27"/>
    <mergeCell ref="B21:C21"/>
    <mergeCell ref="B25:C25"/>
    <mergeCell ref="C12:E12"/>
    <mergeCell ref="C13:E13"/>
    <mergeCell ref="B22:C22"/>
    <mergeCell ref="B17:E17"/>
    <mergeCell ref="B7:D7"/>
    <mergeCell ref="B3:E3"/>
    <mergeCell ref="B6:D6"/>
    <mergeCell ref="B26:C26"/>
  </mergeCells>
  <dataValidations count="4">
    <dataValidation type="list" allowBlank="1" showInputMessage="1" showErrorMessage="1" error="Select from dropdown list." prompt="Select PSI" sqref="E9" xr:uid="{691D8280-772F-41F3-8879-494058F307AB}">
      <formula1>"10,20,30,40,50,60,70,80"</formula1>
    </dataValidation>
    <dataValidation type="list" allowBlank="1" showInputMessage="1" showErrorMessage="1" error="Select from dropdown" prompt="Select type" sqref="B11" xr:uid="{9C70DFAD-DBC2-4C56-8D21-1A331A0DF9EA}">
      <formula1>"Diesel,Electric"</formula1>
    </dataValidation>
    <dataValidation type="list" allowBlank="1" showInputMessage="1" showErrorMessage="1" error="Select from dropdown" prompt="Select" sqref="C15" xr:uid="{408C5E67-19D6-4973-A7F8-F56DB01F2BEC}">
      <formula1>"Owned,Rented"</formula1>
    </dataValidation>
    <dataValidation type="list" allowBlank="1" showInputMessage="1" showErrorMessage="1" error="Select from dropdown" prompt="Select closest" sqref="D9" xr:uid="{ED5B1F56-1C67-4E99-A89D-A90FB925626C}">
      <formula1>"0,50,100,150,200,250,300,350,400"</formula1>
    </dataValidation>
  </dataValidations>
  <pageMargins left="0.7" right="0.7" top="0.75" bottom="0.75" header="0.3" footer="0.3"/>
  <ignoredErrors>
    <ignoredError sqref="D11:E11 B13 E19:E22 E23:E26"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29"/>
  <sheetViews>
    <sheetView showGridLines="0" workbookViewId="0">
      <selection activeCell="C19" sqref="C19"/>
    </sheetView>
  </sheetViews>
  <sheetFormatPr defaultColWidth="9.140625" defaultRowHeight="15" x14ac:dyDescent="0.25"/>
  <cols>
    <col min="1" max="1" width="4.7109375" style="38" customWidth="1"/>
    <col min="2" max="2" width="32.7109375" style="38" customWidth="1"/>
    <col min="3" max="3" width="18.85546875" style="38" customWidth="1"/>
    <col min="4" max="4" width="17" style="38" customWidth="1"/>
    <col min="5" max="5" width="16.7109375" style="38" customWidth="1"/>
    <col min="6" max="16384" width="9.140625" style="38"/>
  </cols>
  <sheetData>
    <row r="1" spans="2:5" ht="19.5" thickBot="1" x14ac:dyDescent="0.35">
      <c r="B1" s="290" t="s">
        <v>255</v>
      </c>
      <c r="C1" s="290"/>
      <c r="D1" s="290"/>
      <c r="E1" s="290"/>
    </row>
    <row r="3" spans="2:5" x14ac:dyDescent="0.25">
      <c r="B3" s="67" t="s">
        <v>85</v>
      </c>
      <c r="C3" s="68" t="s">
        <v>86</v>
      </c>
      <c r="D3" s="68" t="s">
        <v>87</v>
      </c>
      <c r="E3" s="66" t="s">
        <v>88</v>
      </c>
    </row>
    <row r="4" spans="2:5" x14ac:dyDescent="0.25">
      <c r="B4" s="106" t="s">
        <v>428</v>
      </c>
      <c r="C4" s="81">
        <v>19.88</v>
      </c>
      <c r="D4" s="107">
        <v>0.2</v>
      </c>
      <c r="E4" s="142">
        <f>IF(ISBLANK(C4),"",C4*(1+D4))</f>
        <v>23.855999999999998</v>
      </c>
    </row>
    <row r="5" spans="2:5" x14ac:dyDescent="0.25">
      <c r="B5" s="99" t="s">
        <v>45</v>
      </c>
      <c r="C5" s="79">
        <v>15.17</v>
      </c>
      <c r="D5" s="108">
        <v>0.2</v>
      </c>
      <c r="E5" s="142">
        <f t="shared" ref="E5:E8" si="0">IF(ISBLANK(C5),"",C5*(1+D5))</f>
        <v>18.204000000000001</v>
      </c>
    </row>
    <row r="6" spans="2:5" x14ac:dyDescent="0.25">
      <c r="B6" s="99" t="s">
        <v>318</v>
      </c>
      <c r="C6" s="77">
        <v>49.87</v>
      </c>
      <c r="D6" s="109">
        <v>0.2</v>
      </c>
      <c r="E6" s="142">
        <f t="shared" si="0"/>
        <v>59.843999999999994</v>
      </c>
    </row>
    <row r="7" spans="2:5" x14ac:dyDescent="0.25">
      <c r="B7" s="99" t="s">
        <v>277</v>
      </c>
      <c r="C7" s="77">
        <v>18</v>
      </c>
      <c r="D7" s="109">
        <v>0</v>
      </c>
      <c r="E7" s="142">
        <f t="shared" si="0"/>
        <v>18</v>
      </c>
    </row>
    <row r="8" spans="2:5" x14ac:dyDescent="0.25">
      <c r="B8" s="110"/>
      <c r="C8" s="111"/>
      <c r="D8" s="112"/>
      <c r="E8" s="143" t="str">
        <f t="shared" si="0"/>
        <v/>
      </c>
    </row>
    <row r="10" spans="2:5" x14ac:dyDescent="0.25">
      <c r="B10" s="71" t="s">
        <v>89</v>
      </c>
      <c r="C10" s="72" t="s">
        <v>90</v>
      </c>
    </row>
    <row r="11" spans="2:5" x14ac:dyDescent="0.25">
      <c r="B11" s="69" t="s">
        <v>52</v>
      </c>
      <c r="C11" s="113">
        <v>3.06</v>
      </c>
    </row>
    <row r="12" spans="2:5" x14ac:dyDescent="0.25">
      <c r="B12" s="70" t="s">
        <v>91</v>
      </c>
      <c r="C12" s="114">
        <v>3.57</v>
      </c>
    </row>
    <row r="13" spans="2:5" x14ac:dyDescent="0.25">
      <c r="B13" s="70" t="s">
        <v>92</v>
      </c>
      <c r="C13" s="114">
        <v>2.95</v>
      </c>
    </row>
    <row r="14" spans="2:5" x14ac:dyDescent="0.25">
      <c r="B14" s="165" t="s">
        <v>253</v>
      </c>
      <c r="C14" s="114">
        <v>4.74</v>
      </c>
    </row>
    <row r="15" spans="2:5" x14ac:dyDescent="0.25">
      <c r="B15" s="110"/>
      <c r="C15" s="115"/>
    </row>
    <row r="17" spans="2:5" x14ac:dyDescent="0.25">
      <c r="B17" s="23" t="s">
        <v>93</v>
      </c>
      <c r="C17" s="39" t="s">
        <v>94</v>
      </c>
    </row>
    <row r="18" spans="2:5" x14ac:dyDescent="0.25">
      <c r="B18" s="21" t="s">
        <v>95</v>
      </c>
      <c r="C18" s="116">
        <v>280</v>
      </c>
    </row>
    <row r="19" spans="2:5" x14ac:dyDescent="0.25">
      <c r="B19" s="15" t="s">
        <v>96</v>
      </c>
      <c r="C19" s="77">
        <v>0.12</v>
      </c>
    </row>
    <row r="21" spans="2:5" x14ac:dyDescent="0.25">
      <c r="B21" s="40" t="s">
        <v>97</v>
      </c>
      <c r="C21" s="39" t="s">
        <v>98</v>
      </c>
    </row>
    <row r="22" spans="2:5" x14ac:dyDescent="0.25">
      <c r="B22" s="21" t="s">
        <v>99</v>
      </c>
      <c r="C22" s="117">
        <v>8.0600000000000005E-2</v>
      </c>
    </row>
    <row r="23" spans="2:5" x14ac:dyDescent="0.25">
      <c r="B23" s="15" t="s">
        <v>100</v>
      </c>
      <c r="C23" s="76">
        <v>8</v>
      </c>
    </row>
    <row r="24" spans="2:5" x14ac:dyDescent="0.25">
      <c r="B24" s="15" t="s">
        <v>101</v>
      </c>
      <c r="C24" s="144">
        <f>(((1+C22)^(1/12))^C23)-1</f>
        <v>5.3036218698318871E-2</v>
      </c>
    </row>
    <row r="26" spans="2:5" x14ac:dyDescent="0.25">
      <c r="B26" s="29" t="s">
        <v>102</v>
      </c>
      <c r="C26" s="73" t="s">
        <v>55</v>
      </c>
      <c r="D26" s="73" t="s">
        <v>56</v>
      </c>
      <c r="E26" s="59" t="s">
        <v>57</v>
      </c>
    </row>
    <row r="27" spans="2:5" x14ac:dyDescent="0.25">
      <c r="B27" s="76" t="s">
        <v>59</v>
      </c>
      <c r="C27" s="76" t="s">
        <v>254</v>
      </c>
      <c r="D27" s="76" t="s">
        <v>103</v>
      </c>
      <c r="E27" s="77">
        <v>30</v>
      </c>
    </row>
    <row r="28" spans="2:5" x14ac:dyDescent="0.25">
      <c r="B28" s="76" t="s">
        <v>279</v>
      </c>
      <c r="C28" s="76" t="s">
        <v>340</v>
      </c>
      <c r="D28" s="76" t="s">
        <v>280</v>
      </c>
      <c r="E28" s="77">
        <v>15</v>
      </c>
    </row>
    <row r="29" spans="2:5" x14ac:dyDescent="0.25">
      <c r="B29" s="118"/>
      <c r="C29" s="118"/>
      <c r="D29" s="118"/>
      <c r="E29" s="111"/>
    </row>
  </sheetData>
  <mergeCells count="1">
    <mergeCell ref="B1:E1"/>
  </mergeCells>
  <pageMargins left="0.7" right="0.7" top="0.75" bottom="0.75" header="0.3" footer="0.3"/>
  <ignoredErrors>
    <ignoredError sqref="E4:E8" unlockedFormula="1"/>
  </ignoredErrors>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262"/>
  <sheetViews>
    <sheetView zoomScaleNormal="100" workbookViewId="0">
      <selection activeCell="P7" sqref="P7"/>
    </sheetView>
  </sheetViews>
  <sheetFormatPr defaultColWidth="8.85546875" defaultRowHeight="15" x14ac:dyDescent="0.25"/>
  <cols>
    <col min="1" max="1" width="4.7109375" style="38" customWidth="1"/>
    <col min="2" max="2" width="70.140625" style="38" customWidth="1"/>
    <col min="3" max="3" width="30" style="38" customWidth="1"/>
    <col min="4" max="4" width="15.7109375" style="38" customWidth="1"/>
    <col min="5" max="5" width="11.85546875" style="38" customWidth="1"/>
    <col min="6" max="6" width="14.7109375" style="38" customWidth="1"/>
    <col min="7" max="8" width="10.7109375" style="38" customWidth="1"/>
    <col min="9" max="9" width="14.7109375" style="38" customWidth="1"/>
    <col min="10" max="10" width="15.7109375" style="38" customWidth="1"/>
    <col min="11" max="11" width="13.7109375" style="38" customWidth="1"/>
    <col min="12" max="12" width="15.7109375" style="38" customWidth="1"/>
    <col min="13" max="16" width="13.7109375" style="38" customWidth="1"/>
    <col min="17" max="17" width="8.85546875" style="38"/>
    <col min="18" max="18" width="31.140625" style="38" customWidth="1"/>
    <col min="19" max="16384" width="8.85546875" style="38"/>
  </cols>
  <sheetData>
    <row r="1" spans="2:16" ht="19.5" thickBot="1" x14ac:dyDescent="0.35">
      <c r="B1" s="290" t="s">
        <v>267</v>
      </c>
      <c r="C1" s="290"/>
      <c r="D1" s="290"/>
      <c r="E1" s="290"/>
      <c r="F1" s="290"/>
      <c r="G1" s="290"/>
      <c r="H1" s="290"/>
      <c r="I1" s="290"/>
      <c r="J1" s="290"/>
      <c r="K1" s="290"/>
      <c r="L1" s="290"/>
      <c r="M1" s="290"/>
      <c r="N1" s="290"/>
      <c r="O1" s="290"/>
      <c r="P1" s="290"/>
    </row>
    <row r="3" spans="2:16" x14ac:dyDescent="0.25">
      <c r="B3" s="6" t="s">
        <v>113</v>
      </c>
      <c r="C3" s="120">
        <v>7.0499999999999993E-2</v>
      </c>
    </row>
    <row r="5" spans="2:16" x14ac:dyDescent="0.25">
      <c r="B5" s="275" t="s">
        <v>114</v>
      </c>
      <c r="C5" s="275"/>
      <c r="D5" s="275"/>
      <c r="E5" s="275"/>
      <c r="F5" s="275"/>
      <c r="G5" s="275"/>
      <c r="H5" s="275"/>
      <c r="I5" s="344"/>
      <c r="J5" s="342" t="s">
        <v>115</v>
      </c>
      <c r="K5" s="343"/>
      <c r="L5" s="343"/>
      <c r="M5" s="343"/>
      <c r="N5" s="342" t="s">
        <v>116</v>
      </c>
      <c r="O5" s="343"/>
      <c r="P5" s="343"/>
    </row>
    <row r="6" spans="2:16" ht="30" customHeight="1" x14ac:dyDescent="0.25">
      <c r="B6" s="29" t="s">
        <v>117</v>
      </c>
      <c r="C6" s="29" t="s">
        <v>118</v>
      </c>
      <c r="D6" s="29" t="s">
        <v>48</v>
      </c>
      <c r="E6" s="58" t="s">
        <v>119</v>
      </c>
      <c r="F6" s="59" t="s">
        <v>120</v>
      </c>
      <c r="G6" s="58" t="s">
        <v>121</v>
      </c>
      <c r="H6" s="58" t="s">
        <v>122</v>
      </c>
      <c r="I6" s="58" t="s">
        <v>123</v>
      </c>
      <c r="J6" s="60" t="s">
        <v>124</v>
      </c>
      <c r="K6" s="58" t="s">
        <v>125</v>
      </c>
      <c r="L6" s="58" t="s">
        <v>126</v>
      </c>
      <c r="M6" s="58" t="s">
        <v>127</v>
      </c>
      <c r="N6" s="60" t="s">
        <v>128</v>
      </c>
      <c r="O6" s="59" t="s">
        <v>129</v>
      </c>
      <c r="P6" s="59" t="s">
        <v>130</v>
      </c>
    </row>
    <row r="7" spans="2:16" x14ac:dyDescent="0.25">
      <c r="B7" s="76" t="s">
        <v>259</v>
      </c>
      <c r="C7" s="76" t="s">
        <v>200</v>
      </c>
      <c r="D7" s="76" t="s">
        <v>92</v>
      </c>
      <c r="E7" s="76">
        <v>100</v>
      </c>
      <c r="F7" s="121">
        <v>99000</v>
      </c>
      <c r="G7" s="102">
        <v>400</v>
      </c>
      <c r="H7" s="102">
        <v>20</v>
      </c>
      <c r="I7" s="122">
        <f t="shared" ref="I7:I14" si="0">F7*(VLOOKUP(C7,MachineCoefficientTable,2,FALSE)-(VLOOKUP(C7,MachineCoefficientTable,3,FALSE)*(H7^0.5))-(VLOOKUP(C7,MachineCoefficientTable,4,FALSE)*(G7^0.5)))^2</f>
        <v>22694.405692273704</v>
      </c>
      <c r="J7" s="123">
        <f t="shared" ref="J7:J14" si="1">IF(ISBLANK(B7),"",PMT(InterestRate_Machinery,H7,-F7,I7,1))</f>
        <v>8249.1157707493167</v>
      </c>
      <c r="K7" s="124">
        <f t="shared" ref="K7:K14" si="2">F7*0.02</f>
        <v>1980</v>
      </c>
      <c r="L7" s="125">
        <f t="shared" ref="L7:L14" si="3">J7+K7</f>
        <v>10229.115770749317</v>
      </c>
      <c r="M7" s="122">
        <f t="shared" ref="M7:M14" si="4">(VLOOKUP(C7,MachineCoefficientTable,5,FALSE)*F7*((G7*H7)/1000)^VLOOKUP(C7,MachineCoefficientTable,6,FALSE))/H7</f>
        <v>950.4</v>
      </c>
      <c r="N7" s="123">
        <f t="shared" ref="N7:N14" si="5">L7/G7</f>
        <v>25.572789426873292</v>
      </c>
      <c r="O7" s="125">
        <f t="shared" ref="O7:O14" si="6">M7/G7</f>
        <v>2.3759999999999999</v>
      </c>
      <c r="P7" s="126">
        <f t="shared" ref="P7:P14" si="7">0.0438*E7*1.15</f>
        <v>5.0369999999999999</v>
      </c>
    </row>
    <row r="8" spans="2:16" x14ac:dyDescent="0.25">
      <c r="B8" s="76" t="s">
        <v>258</v>
      </c>
      <c r="C8" s="76" t="s">
        <v>200</v>
      </c>
      <c r="D8" s="76" t="s">
        <v>92</v>
      </c>
      <c r="E8" s="76">
        <v>125</v>
      </c>
      <c r="F8" s="121">
        <v>115000</v>
      </c>
      <c r="G8" s="102">
        <v>400</v>
      </c>
      <c r="H8" s="102">
        <v>20</v>
      </c>
      <c r="I8" s="122">
        <f t="shared" si="0"/>
        <v>26362.188430418948</v>
      </c>
      <c r="J8" s="123">
        <f t="shared" si="1"/>
        <v>9582.3061983451662</v>
      </c>
      <c r="K8" s="124">
        <f t="shared" si="2"/>
        <v>2300</v>
      </c>
      <c r="L8" s="125">
        <f t="shared" si="3"/>
        <v>11882.306198345166</v>
      </c>
      <c r="M8" s="122">
        <f t="shared" si="4"/>
        <v>1104</v>
      </c>
      <c r="N8" s="123">
        <f t="shared" si="5"/>
        <v>29.705765495862916</v>
      </c>
      <c r="O8" s="125">
        <f t="shared" si="6"/>
        <v>2.76</v>
      </c>
      <c r="P8" s="126">
        <f t="shared" si="7"/>
        <v>6.2962499999999988</v>
      </c>
    </row>
    <row r="9" spans="2:16" x14ac:dyDescent="0.25">
      <c r="B9" s="76" t="s">
        <v>133</v>
      </c>
      <c r="C9" s="76" t="s">
        <v>134</v>
      </c>
      <c r="D9" s="76" t="s">
        <v>92</v>
      </c>
      <c r="E9" s="76">
        <v>150</v>
      </c>
      <c r="F9" s="121">
        <v>260880</v>
      </c>
      <c r="G9" s="102">
        <v>400</v>
      </c>
      <c r="H9" s="102">
        <v>20</v>
      </c>
      <c r="I9" s="122">
        <f t="shared" si="0"/>
        <v>42963.40912729784</v>
      </c>
      <c r="J9" s="123">
        <f t="shared" si="1"/>
        <v>22119.29935446028</v>
      </c>
      <c r="K9" s="124">
        <f t="shared" si="2"/>
        <v>5217.6000000000004</v>
      </c>
      <c r="L9" s="125">
        <f t="shared" si="3"/>
        <v>27336.899354460278</v>
      </c>
      <c r="M9" s="122">
        <f t="shared" si="4"/>
        <v>2504.4479999999999</v>
      </c>
      <c r="N9" s="123">
        <f t="shared" si="5"/>
        <v>68.3422483861507</v>
      </c>
      <c r="O9" s="125">
        <f t="shared" si="6"/>
        <v>6.26112</v>
      </c>
      <c r="P9" s="126">
        <f t="shared" si="7"/>
        <v>7.5554999999999986</v>
      </c>
    </row>
    <row r="10" spans="2:16" x14ac:dyDescent="0.25">
      <c r="B10" s="76" t="s">
        <v>135</v>
      </c>
      <c r="C10" s="76" t="s">
        <v>134</v>
      </c>
      <c r="D10" s="76" t="s">
        <v>92</v>
      </c>
      <c r="E10" s="76">
        <v>175</v>
      </c>
      <c r="F10" s="121">
        <v>296132</v>
      </c>
      <c r="G10" s="102">
        <v>400</v>
      </c>
      <c r="H10" s="102">
        <v>20</v>
      </c>
      <c r="I10" s="122">
        <f t="shared" si="0"/>
        <v>48768.936950647672</v>
      </c>
      <c r="J10" s="123">
        <f t="shared" si="1"/>
        <v>25108.219704212788</v>
      </c>
      <c r="K10" s="124">
        <f t="shared" si="2"/>
        <v>5922.64</v>
      </c>
      <c r="L10" s="125">
        <f t="shared" si="3"/>
        <v>31030.859704212788</v>
      </c>
      <c r="M10" s="122">
        <f t="shared" si="4"/>
        <v>2842.8672000000001</v>
      </c>
      <c r="N10" s="123">
        <f t="shared" si="5"/>
        <v>77.577149260531968</v>
      </c>
      <c r="O10" s="125">
        <f t="shared" si="6"/>
        <v>7.1071680000000006</v>
      </c>
      <c r="P10" s="126">
        <f t="shared" si="7"/>
        <v>8.8147500000000001</v>
      </c>
    </row>
    <row r="11" spans="2:16" x14ac:dyDescent="0.25">
      <c r="B11" s="76" t="s">
        <v>136</v>
      </c>
      <c r="C11" s="76" t="s">
        <v>134</v>
      </c>
      <c r="D11" s="76" t="s">
        <v>92</v>
      </c>
      <c r="E11" s="76">
        <v>200</v>
      </c>
      <c r="F11" s="121">
        <v>343036</v>
      </c>
      <c r="G11" s="102">
        <v>200</v>
      </c>
      <c r="H11" s="102">
        <v>20</v>
      </c>
      <c r="I11" s="122">
        <f t="shared" si="0"/>
        <v>59634.671431632538</v>
      </c>
      <c r="J11" s="123">
        <f t="shared" si="1"/>
        <v>29013.892332126779</v>
      </c>
      <c r="K11" s="124">
        <f t="shared" si="2"/>
        <v>6860.72</v>
      </c>
      <c r="L11" s="125">
        <f t="shared" si="3"/>
        <v>35874.612332126781</v>
      </c>
      <c r="M11" s="122">
        <f t="shared" si="4"/>
        <v>823.28639999999996</v>
      </c>
      <c r="N11" s="123">
        <f t="shared" si="5"/>
        <v>179.37306166063391</v>
      </c>
      <c r="O11" s="125">
        <f t="shared" si="6"/>
        <v>4.1164319999999996</v>
      </c>
      <c r="P11" s="126">
        <f t="shared" si="7"/>
        <v>10.074</v>
      </c>
    </row>
    <row r="12" spans="2:16" x14ac:dyDescent="0.25">
      <c r="B12" s="76" t="s">
        <v>31</v>
      </c>
      <c r="C12" s="76" t="s">
        <v>134</v>
      </c>
      <c r="D12" s="76" t="s">
        <v>92</v>
      </c>
      <c r="E12" s="76">
        <v>225</v>
      </c>
      <c r="F12" s="121">
        <v>371142</v>
      </c>
      <c r="G12" s="102">
        <v>200</v>
      </c>
      <c r="H12" s="102">
        <v>20</v>
      </c>
      <c r="I12" s="122">
        <f t="shared" si="0"/>
        <v>64520.724426820991</v>
      </c>
      <c r="J12" s="123">
        <f t="shared" si="1"/>
        <v>31391.090229393409</v>
      </c>
      <c r="K12" s="124">
        <f t="shared" si="2"/>
        <v>7422.84</v>
      </c>
      <c r="L12" s="125">
        <f t="shared" si="3"/>
        <v>38813.930229393409</v>
      </c>
      <c r="M12" s="122">
        <f t="shared" si="4"/>
        <v>890.74079999999992</v>
      </c>
      <c r="N12" s="123">
        <f t="shared" si="5"/>
        <v>194.06965114696703</v>
      </c>
      <c r="O12" s="125">
        <f t="shared" si="6"/>
        <v>4.4537039999999992</v>
      </c>
      <c r="P12" s="126">
        <f t="shared" si="7"/>
        <v>11.33325</v>
      </c>
    </row>
    <row r="13" spans="2:16" x14ac:dyDescent="0.25">
      <c r="B13" s="76" t="s">
        <v>137</v>
      </c>
      <c r="C13" s="76" t="s">
        <v>134</v>
      </c>
      <c r="D13" s="76" t="s">
        <v>92</v>
      </c>
      <c r="E13" s="76">
        <v>250</v>
      </c>
      <c r="F13" s="121">
        <v>418111</v>
      </c>
      <c r="G13" s="102">
        <v>200</v>
      </c>
      <c r="H13" s="102">
        <v>20</v>
      </c>
      <c r="I13" s="122">
        <f t="shared" si="0"/>
        <v>72685.992452545252</v>
      </c>
      <c r="J13" s="123">
        <f t="shared" si="1"/>
        <v>35363.715577600778</v>
      </c>
      <c r="K13" s="124">
        <f t="shared" si="2"/>
        <v>8362.2199999999993</v>
      </c>
      <c r="L13" s="125">
        <f t="shared" si="3"/>
        <v>43725.93557760078</v>
      </c>
      <c r="M13" s="122">
        <f t="shared" si="4"/>
        <v>1003.4664</v>
      </c>
      <c r="N13" s="123">
        <f t="shared" si="5"/>
        <v>218.6296778880039</v>
      </c>
      <c r="O13" s="125">
        <f t="shared" si="6"/>
        <v>5.0173319999999997</v>
      </c>
      <c r="P13" s="126">
        <f t="shared" si="7"/>
        <v>12.592499999999998</v>
      </c>
    </row>
    <row r="14" spans="2:16" x14ac:dyDescent="0.25">
      <c r="B14" s="76" t="s">
        <v>29</v>
      </c>
      <c r="C14" s="76" t="s">
        <v>134</v>
      </c>
      <c r="D14" s="76" t="s">
        <v>92</v>
      </c>
      <c r="E14" s="76">
        <v>275</v>
      </c>
      <c r="F14" s="121">
        <v>459163</v>
      </c>
      <c r="G14" s="102">
        <v>200</v>
      </c>
      <c r="H14" s="102">
        <v>20</v>
      </c>
      <c r="I14" s="122">
        <f t="shared" si="0"/>
        <v>79822.626892112472</v>
      </c>
      <c r="J14" s="123">
        <f t="shared" si="1"/>
        <v>38835.88266215886</v>
      </c>
      <c r="K14" s="124">
        <f t="shared" si="2"/>
        <v>9183.26</v>
      </c>
      <c r="L14" s="125">
        <f t="shared" si="3"/>
        <v>48019.142662158862</v>
      </c>
      <c r="M14" s="122">
        <f t="shared" si="4"/>
        <v>1101.9911999999999</v>
      </c>
      <c r="N14" s="123">
        <f t="shared" si="5"/>
        <v>240.09571331079431</v>
      </c>
      <c r="O14" s="125">
        <f t="shared" si="6"/>
        <v>5.5099559999999999</v>
      </c>
      <c r="P14" s="126">
        <f t="shared" si="7"/>
        <v>13.851749999999999</v>
      </c>
    </row>
    <row r="15" spans="2:16" x14ac:dyDescent="0.25">
      <c r="D15" s="44"/>
      <c r="F15" s="43"/>
      <c r="G15" s="43"/>
      <c r="H15" s="43"/>
      <c r="I15" s="43"/>
      <c r="J15" s="43"/>
      <c r="K15" s="43"/>
      <c r="L15" s="43"/>
      <c r="M15" s="43"/>
      <c r="N15" s="43"/>
      <c r="O15" s="43"/>
      <c r="P15" s="43"/>
    </row>
    <row r="16" spans="2:16" x14ac:dyDescent="0.25">
      <c r="B16" s="18" t="s">
        <v>138</v>
      </c>
      <c r="C16" s="18"/>
      <c r="D16" s="61"/>
      <c r="E16" s="30"/>
      <c r="F16" s="62"/>
      <c r="G16" s="62"/>
      <c r="H16" s="62"/>
      <c r="I16" s="63"/>
      <c r="J16" s="342" t="s">
        <v>115</v>
      </c>
      <c r="K16" s="343"/>
      <c r="L16" s="343"/>
      <c r="M16" s="343"/>
      <c r="N16" s="342" t="s">
        <v>116</v>
      </c>
      <c r="O16" s="343"/>
      <c r="P16" s="44"/>
    </row>
    <row r="17" spans="2:16" ht="45" x14ac:dyDescent="0.25">
      <c r="B17" s="29" t="s">
        <v>117</v>
      </c>
      <c r="C17" s="29" t="s">
        <v>118</v>
      </c>
      <c r="D17" s="65" t="s">
        <v>139</v>
      </c>
      <c r="E17" s="65" t="s">
        <v>140</v>
      </c>
      <c r="F17" s="59" t="s">
        <v>120</v>
      </c>
      <c r="G17" s="58" t="s">
        <v>121</v>
      </c>
      <c r="H17" s="58" t="s">
        <v>122</v>
      </c>
      <c r="I17" s="59" t="s">
        <v>123</v>
      </c>
      <c r="J17" s="60" t="s">
        <v>124</v>
      </c>
      <c r="K17" s="59" t="s">
        <v>141</v>
      </c>
      <c r="L17" s="58" t="s">
        <v>126</v>
      </c>
      <c r="M17" s="58" t="s">
        <v>127</v>
      </c>
      <c r="N17" s="60" t="s">
        <v>128</v>
      </c>
      <c r="O17" s="59" t="s">
        <v>129</v>
      </c>
      <c r="P17" s="42"/>
    </row>
    <row r="18" spans="2:16" x14ac:dyDescent="0.25">
      <c r="B18" s="76" t="s">
        <v>288</v>
      </c>
      <c r="C18" s="76" t="s">
        <v>145</v>
      </c>
      <c r="D18" s="119">
        <v>13</v>
      </c>
      <c r="E18" s="128">
        <v>5</v>
      </c>
      <c r="F18" s="130">
        <v>12900</v>
      </c>
      <c r="G18" s="76">
        <v>100</v>
      </c>
      <c r="H18" s="76">
        <v>20</v>
      </c>
      <c r="I18" s="122">
        <f t="shared" ref="I18" si="8">F18*(VLOOKUP(C18,MachineCoefficientTable,2,FALSE)-(VLOOKUP(C18,MachineCoefficientTable,3,FALSE)*(H18^0.5))-(VLOOKUP(C18,MachineCoefficientTable,4,FALSE)*(G18^0.5)))^2</f>
        <v>2054.3625403026736</v>
      </c>
      <c r="J18" s="123">
        <f t="shared" ref="J18" si="9">IF(ISBLANK(B18),"",PMT(InterestRate_Machinery,H18,-F18,I18,1))</f>
        <v>1095.3440774310561</v>
      </c>
      <c r="K18" s="125">
        <f t="shared" ref="K18" si="10">F18*0.02</f>
        <v>258</v>
      </c>
      <c r="L18" s="125">
        <f t="shared" ref="L18" si="11">J18+K18</f>
        <v>1353.3440774310561</v>
      </c>
      <c r="M18" s="122">
        <f t="shared" ref="M18" si="12">(VLOOKUP(C18,MachineCoefficientTable,5,FALSE)*F18*((G18*H18)/1000)^VLOOKUP(C18,MachineCoefficientTable,6,FALSE))/H18</f>
        <v>377.21001286783576</v>
      </c>
      <c r="N18" s="123">
        <f t="shared" ref="N18" si="13">L18/G18</f>
        <v>13.533440774310561</v>
      </c>
      <c r="O18" s="125">
        <f t="shared" ref="O18" si="14">M18/G18</f>
        <v>3.7721001286783578</v>
      </c>
    </row>
    <row r="19" spans="2:16" x14ac:dyDescent="0.25">
      <c r="B19" s="76" t="s">
        <v>436</v>
      </c>
      <c r="C19" s="76" t="s">
        <v>145</v>
      </c>
      <c r="D19" s="119">
        <v>53</v>
      </c>
      <c r="E19" s="128">
        <v>5</v>
      </c>
      <c r="F19" s="130">
        <v>48000</v>
      </c>
      <c r="G19" s="76">
        <v>200</v>
      </c>
      <c r="H19" s="76">
        <v>20</v>
      </c>
      <c r="I19" s="122">
        <f t="shared" ref="I19:I21" si="15">F19*(VLOOKUP(C19,MachineCoefficientTable,2,FALSE)-(VLOOKUP(C19,MachineCoefficientTable,3,FALSE)*(H19^0.5))-(VLOOKUP(C19,MachineCoefficientTable,4,FALSE)*(G19^0.5)))^2</f>
        <v>7644.1396848471568</v>
      </c>
      <c r="J19" s="123">
        <f t="shared" ref="J19:J35" si="16">IF(ISBLANK(B19),"",PMT(InterestRate_Machinery,H19,-F19,I19,1))</f>
        <v>4075.6988927667212</v>
      </c>
      <c r="K19" s="125">
        <f t="shared" ref="K19:K35" si="17">F19*0.02</f>
        <v>960</v>
      </c>
      <c r="L19" s="125">
        <f t="shared" ref="L19:L35" si="18">J19+K19</f>
        <v>5035.6988927667207</v>
      </c>
      <c r="M19" s="122">
        <f t="shared" ref="M19:M35" si="19">(VLOOKUP(C19,MachineCoefficientTable,5,FALSE)*F19*((G19*H19)/1000)^VLOOKUP(C19,MachineCoefficientTable,6,FALSE))/H19</f>
        <v>4560.2193396311213</v>
      </c>
      <c r="N19" s="123">
        <f t="shared" ref="N19:N35" si="20">L19/G19</f>
        <v>25.178494463833605</v>
      </c>
      <c r="O19" s="125">
        <f t="shared" ref="O19:O35" si="21">M19/G19</f>
        <v>22.801096698155607</v>
      </c>
    </row>
    <row r="20" spans="2:16" x14ac:dyDescent="0.25">
      <c r="B20" s="76" t="s">
        <v>434</v>
      </c>
      <c r="C20" s="76" t="s">
        <v>195</v>
      </c>
      <c r="D20" s="119">
        <v>13</v>
      </c>
      <c r="E20" s="128">
        <v>6</v>
      </c>
      <c r="F20" s="130">
        <v>35000</v>
      </c>
      <c r="G20" s="76">
        <v>100</v>
      </c>
      <c r="H20" s="76">
        <v>20</v>
      </c>
      <c r="I20" s="122">
        <f t="shared" si="15"/>
        <v>7289.4758725152906</v>
      </c>
      <c r="J20" s="123">
        <f t="shared" si="16"/>
        <v>2932.9836781677313</v>
      </c>
      <c r="K20" s="125">
        <f t="shared" si="17"/>
        <v>700</v>
      </c>
      <c r="L20" s="125">
        <f t="shared" si="18"/>
        <v>3632.9836781677313</v>
      </c>
      <c r="M20" s="122">
        <f t="shared" si="19"/>
        <v>2615.4527162670784</v>
      </c>
      <c r="N20" s="123">
        <f t="shared" si="20"/>
        <v>36.329836781677315</v>
      </c>
      <c r="O20" s="125">
        <f t="shared" si="21"/>
        <v>26.154527162670785</v>
      </c>
    </row>
    <row r="21" spans="2:16" x14ac:dyDescent="0.25">
      <c r="B21" s="76" t="s">
        <v>435</v>
      </c>
      <c r="C21" s="76" t="s">
        <v>195</v>
      </c>
      <c r="D21" s="119">
        <v>27</v>
      </c>
      <c r="E21" s="128">
        <v>6</v>
      </c>
      <c r="F21" s="130">
        <v>22000</v>
      </c>
      <c r="G21" s="76">
        <v>100</v>
      </c>
      <c r="H21" s="76">
        <v>20</v>
      </c>
      <c r="I21" s="122">
        <f t="shared" si="15"/>
        <v>4581.9562627238965</v>
      </c>
      <c r="J21" s="123">
        <f t="shared" si="16"/>
        <v>1843.5897405625738</v>
      </c>
      <c r="K21" s="125">
        <f t="shared" si="17"/>
        <v>440</v>
      </c>
      <c r="L21" s="125">
        <f t="shared" si="18"/>
        <v>2283.5897405625738</v>
      </c>
      <c r="M21" s="122">
        <f t="shared" si="19"/>
        <v>1643.9988502250205</v>
      </c>
      <c r="N21" s="123">
        <f t="shared" si="20"/>
        <v>22.835897405625737</v>
      </c>
      <c r="O21" s="125">
        <f t="shared" si="21"/>
        <v>16.439988502250205</v>
      </c>
    </row>
    <row r="22" spans="2:16" x14ac:dyDescent="0.25">
      <c r="B22" s="76" t="s">
        <v>144</v>
      </c>
      <c r="C22" s="76" t="s">
        <v>145</v>
      </c>
      <c r="D22" s="119">
        <v>12</v>
      </c>
      <c r="E22" s="128">
        <v>7</v>
      </c>
      <c r="F22" s="130">
        <v>85621</v>
      </c>
      <c r="G22" s="76">
        <v>200</v>
      </c>
      <c r="H22" s="76">
        <v>20</v>
      </c>
      <c r="I22" s="122">
        <f t="shared" ref="I22:I35" si="22">F22*(VLOOKUP(C22,MachineCoefficientTable,2,FALSE)-(VLOOKUP(C22,MachineCoefficientTable,3,FALSE)*(H22^0.5))-(VLOOKUP(C22,MachineCoefficientTable,4,FALSE)*(G22^0.5)))^2</f>
        <v>13635.393415756218</v>
      </c>
      <c r="J22" s="123">
        <f t="shared" si="16"/>
        <v>7270.1128103662377</v>
      </c>
      <c r="K22" s="125">
        <f t="shared" si="17"/>
        <v>1712.42</v>
      </c>
      <c r="L22" s="125">
        <f t="shared" si="18"/>
        <v>8982.5328103662378</v>
      </c>
      <c r="M22" s="122">
        <f t="shared" si="19"/>
        <v>8134.3862516365889</v>
      </c>
      <c r="N22" s="123">
        <f t="shared" si="20"/>
        <v>44.912664051831186</v>
      </c>
      <c r="O22" s="125">
        <f t="shared" si="21"/>
        <v>40.671931258182944</v>
      </c>
    </row>
    <row r="23" spans="2:16" x14ac:dyDescent="0.25">
      <c r="B23" s="76" t="s">
        <v>30</v>
      </c>
      <c r="C23" s="76" t="s">
        <v>145</v>
      </c>
      <c r="D23" s="119">
        <v>20</v>
      </c>
      <c r="E23" s="128">
        <v>7</v>
      </c>
      <c r="F23" s="130">
        <v>90784</v>
      </c>
      <c r="G23" s="76">
        <v>200</v>
      </c>
      <c r="H23" s="76">
        <v>20</v>
      </c>
      <c r="I23" s="122">
        <f t="shared" si="22"/>
        <v>14457.61619060759</v>
      </c>
      <c r="J23" s="123">
        <f t="shared" si="16"/>
        <v>7708.505172519458</v>
      </c>
      <c r="K23" s="125">
        <f t="shared" si="17"/>
        <v>1815.68</v>
      </c>
      <c r="L23" s="125">
        <f t="shared" si="18"/>
        <v>9524.1851725194574</v>
      </c>
      <c r="M23" s="122">
        <f t="shared" si="19"/>
        <v>8624.8948443556619</v>
      </c>
      <c r="N23" s="123">
        <f t="shared" si="20"/>
        <v>47.620925862597289</v>
      </c>
      <c r="O23" s="125">
        <f t="shared" si="21"/>
        <v>43.124474221778307</v>
      </c>
    </row>
    <row r="24" spans="2:16" x14ac:dyDescent="0.25">
      <c r="B24" s="76" t="s">
        <v>147</v>
      </c>
      <c r="C24" s="76" t="s">
        <v>146</v>
      </c>
      <c r="D24" s="119">
        <v>15</v>
      </c>
      <c r="E24" s="128">
        <v>5.5</v>
      </c>
      <c r="F24" s="130">
        <v>27632</v>
      </c>
      <c r="G24" s="76">
        <v>75</v>
      </c>
      <c r="H24" s="76">
        <v>20</v>
      </c>
      <c r="I24" s="122">
        <f t="shared" si="22"/>
        <v>5511.0704949082292</v>
      </c>
      <c r="J24" s="123">
        <f t="shared" si="16"/>
        <v>2321.0753074039271</v>
      </c>
      <c r="K24" s="125">
        <f t="shared" si="17"/>
        <v>552.64</v>
      </c>
      <c r="L24" s="125">
        <f t="shared" si="18"/>
        <v>2873.715307403927</v>
      </c>
      <c r="M24" s="122">
        <f t="shared" si="19"/>
        <v>1474.488911095696</v>
      </c>
      <c r="N24" s="123">
        <f t="shared" si="20"/>
        <v>38.316204098719027</v>
      </c>
      <c r="O24" s="125">
        <f t="shared" si="21"/>
        <v>19.659852147942615</v>
      </c>
    </row>
    <row r="25" spans="2:16" x14ac:dyDescent="0.25">
      <c r="B25" s="76" t="s">
        <v>148</v>
      </c>
      <c r="C25" s="76" t="s">
        <v>146</v>
      </c>
      <c r="D25" s="119">
        <v>20</v>
      </c>
      <c r="E25" s="128">
        <v>5.5</v>
      </c>
      <c r="F25" s="130">
        <v>38654</v>
      </c>
      <c r="G25" s="76">
        <v>75</v>
      </c>
      <c r="H25" s="76">
        <v>20</v>
      </c>
      <c r="I25" s="122">
        <f t="shared" si="22"/>
        <v>7709.3557798994889</v>
      </c>
      <c r="J25" s="123">
        <f t="shared" si="16"/>
        <v>3246.9182445132956</v>
      </c>
      <c r="K25" s="125">
        <f t="shared" si="17"/>
        <v>773.08</v>
      </c>
      <c r="L25" s="125">
        <f t="shared" si="18"/>
        <v>4019.9982445132955</v>
      </c>
      <c r="M25" s="122">
        <f t="shared" si="19"/>
        <v>2062.6409369388043</v>
      </c>
      <c r="N25" s="123">
        <f t="shared" si="20"/>
        <v>53.599976593510604</v>
      </c>
      <c r="O25" s="125">
        <f t="shared" si="21"/>
        <v>27.501879159184057</v>
      </c>
    </row>
    <row r="26" spans="2:16" x14ac:dyDescent="0.25">
      <c r="B26" s="76" t="s">
        <v>149</v>
      </c>
      <c r="C26" s="76" t="s">
        <v>150</v>
      </c>
      <c r="D26" s="119">
        <v>18</v>
      </c>
      <c r="E26" s="128">
        <v>7</v>
      </c>
      <c r="F26" s="130">
        <v>35396</v>
      </c>
      <c r="G26" s="76">
        <v>100</v>
      </c>
      <c r="H26" s="76">
        <v>20</v>
      </c>
      <c r="I26" s="122">
        <f t="shared" si="22"/>
        <v>5636.9160059343749</v>
      </c>
      <c r="J26" s="123">
        <f t="shared" si="16"/>
        <v>3005.4882918410599</v>
      </c>
      <c r="K26" s="125">
        <f t="shared" si="17"/>
        <v>707.92</v>
      </c>
      <c r="L26" s="125">
        <f t="shared" si="18"/>
        <v>3713.40829184106</v>
      </c>
      <c r="M26" s="122">
        <f t="shared" si="19"/>
        <v>1261.0431542623687</v>
      </c>
      <c r="N26" s="123">
        <f t="shared" si="20"/>
        <v>37.134082918410598</v>
      </c>
      <c r="O26" s="125">
        <f t="shared" si="21"/>
        <v>12.610431542623687</v>
      </c>
    </row>
    <row r="27" spans="2:16" x14ac:dyDescent="0.25">
      <c r="B27" s="76" t="s">
        <v>151</v>
      </c>
      <c r="C27" s="76" t="s">
        <v>150</v>
      </c>
      <c r="D27" s="119">
        <v>28</v>
      </c>
      <c r="E27" s="128">
        <v>7</v>
      </c>
      <c r="F27" s="130">
        <v>64639</v>
      </c>
      <c r="G27" s="76">
        <v>100</v>
      </c>
      <c r="H27" s="76">
        <v>20</v>
      </c>
      <c r="I27" s="122">
        <f t="shared" si="22"/>
        <v>10293.948856017405</v>
      </c>
      <c r="J27" s="123">
        <f t="shared" si="16"/>
        <v>5488.5229318655847</v>
      </c>
      <c r="K27" s="125">
        <f t="shared" si="17"/>
        <v>1292.78</v>
      </c>
      <c r="L27" s="125">
        <f t="shared" si="18"/>
        <v>6781.3029318655845</v>
      </c>
      <c r="M27" s="122">
        <f t="shared" si="19"/>
        <v>2302.8751398001264</v>
      </c>
      <c r="N27" s="123">
        <f t="shared" si="20"/>
        <v>67.81302931865585</v>
      </c>
      <c r="O27" s="125">
        <f t="shared" si="21"/>
        <v>23.028751398001262</v>
      </c>
    </row>
    <row r="28" spans="2:16" x14ac:dyDescent="0.25">
      <c r="B28" s="76" t="s">
        <v>152</v>
      </c>
      <c r="C28" s="76" t="s">
        <v>153</v>
      </c>
      <c r="D28" s="119"/>
      <c r="E28" s="128" t="s">
        <v>154</v>
      </c>
      <c r="F28" s="129">
        <v>71443</v>
      </c>
      <c r="G28" s="76">
        <v>100</v>
      </c>
      <c r="H28" s="76">
        <v>20</v>
      </c>
      <c r="I28" s="122">
        <f t="shared" si="22"/>
        <v>15866.181811563711</v>
      </c>
      <c r="J28" s="123">
        <f t="shared" si="16"/>
        <v>5964.5292322910327</v>
      </c>
      <c r="K28" s="125">
        <f t="shared" si="17"/>
        <v>1428.8600000000001</v>
      </c>
      <c r="L28" s="125">
        <f t="shared" si="18"/>
        <v>7393.3892322910324</v>
      </c>
      <c r="M28" s="122">
        <f t="shared" si="19"/>
        <v>1671.1763561294163</v>
      </c>
      <c r="N28" s="123">
        <f t="shared" si="20"/>
        <v>73.933892322910324</v>
      </c>
      <c r="O28" s="125">
        <f t="shared" si="21"/>
        <v>16.711763561294163</v>
      </c>
    </row>
    <row r="29" spans="2:16" x14ac:dyDescent="0.25">
      <c r="B29" s="76" t="s">
        <v>155</v>
      </c>
      <c r="C29" s="76" t="s">
        <v>153</v>
      </c>
      <c r="D29" s="119"/>
      <c r="E29" s="128"/>
      <c r="F29" s="129">
        <v>92481</v>
      </c>
      <c r="G29" s="76">
        <v>100</v>
      </c>
      <c r="H29" s="76">
        <v>20</v>
      </c>
      <c r="I29" s="122">
        <f t="shared" si="22"/>
        <v>20538.336297680999</v>
      </c>
      <c r="J29" s="123">
        <f t="shared" si="16"/>
        <v>7720.9191653696935</v>
      </c>
      <c r="K29" s="125">
        <f t="shared" si="17"/>
        <v>1849.6200000000001</v>
      </c>
      <c r="L29" s="125">
        <f t="shared" si="18"/>
        <v>9570.5391653696934</v>
      </c>
      <c r="M29" s="122">
        <f t="shared" si="19"/>
        <v>2163.2918633204727</v>
      </c>
      <c r="N29" s="123">
        <f t="shared" si="20"/>
        <v>95.705391653696935</v>
      </c>
      <c r="O29" s="125">
        <f t="shared" si="21"/>
        <v>21.632918633204728</v>
      </c>
    </row>
    <row r="30" spans="2:16" x14ac:dyDescent="0.25">
      <c r="B30" s="76" t="s">
        <v>437</v>
      </c>
      <c r="C30" s="76" t="s">
        <v>132</v>
      </c>
      <c r="D30" s="119">
        <v>27</v>
      </c>
      <c r="E30" s="128">
        <v>5</v>
      </c>
      <c r="F30" s="129">
        <v>29500</v>
      </c>
      <c r="G30" s="76">
        <v>100</v>
      </c>
      <c r="H30" s="76">
        <v>20</v>
      </c>
      <c r="I30" s="122">
        <f t="shared" si="22"/>
        <v>5883.6341777574098</v>
      </c>
      <c r="J30" s="123">
        <f t="shared" si="16"/>
        <v>2477.9864493491546</v>
      </c>
      <c r="K30" s="125">
        <f t="shared" si="17"/>
        <v>590</v>
      </c>
      <c r="L30" s="125">
        <f t="shared" si="18"/>
        <v>3067.9864493491546</v>
      </c>
      <c r="M30" s="122">
        <f t="shared" si="19"/>
        <v>1489.0691679406762</v>
      </c>
      <c r="N30" s="123">
        <f t="shared" si="20"/>
        <v>30.679864493491547</v>
      </c>
      <c r="O30" s="125">
        <f t="shared" si="21"/>
        <v>14.890691679406762</v>
      </c>
    </row>
    <row r="31" spans="2:16" x14ac:dyDescent="0.25">
      <c r="B31" s="76" t="s">
        <v>443</v>
      </c>
      <c r="C31" s="76" t="s">
        <v>145</v>
      </c>
      <c r="D31" s="119">
        <v>27</v>
      </c>
      <c r="E31" s="128">
        <v>6</v>
      </c>
      <c r="F31" s="129">
        <v>33000</v>
      </c>
      <c r="G31" s="76">
        <v>100</v>
      </c>
      <c r="H31" s="76">
        <v>20</v>
      </c>
      <c r="I31" s="122">
        <f>F31*(VLOOKUP(C31,MachineCoefficientTable,2,FALSE)-(VLOOKUP(C31,MachineCoefficientTable,3,FALSE)*(H31^0.5))-(VLOOKUP(C31,MachineCoefficientTable,4,FALSE)*(G31^0.5)))^2</f>
        <v>5255.346033332421</v>
      </c>
      <c r="J31" s="123">
        <f>IF(ISBLANK(B31),"",PMT(InterestRate_Machinery,H31,-F31,I31,1))</f>
        <v>2802.0429887771206</v>
      </c>
      <c r="K31" s="125">
        <f>F31*0.02</f>
        <v>660</v>
      </c>
      <c r="L31" s="125">
        <f>J31+K31</f>
        <v>3462.0429887771206</v>
      </c>
      <c r="M31" s="122">
        <f>(VLOOKUP(C31,MachineCoefficientTable,5,FALSE)*F31*((G31*H31)/1000)^VLOOKUP(C31,MachineCoefficientTable,6,FALSE))/H31</f>
        <v>964.95584687120777</v>
      </c>
      <c r="N31" s="123">
        <f>L31/G31</f>
        <v>34.620429887771209</v>
      </c>
      <c r="O31" s="125">
        <f>M31/G31</f>
        <v>9.6495584687120779</v>
      </c>
    </row>
    <row r="32" spans="2:16" x14ac:dyDescent="0.25">
      <c r="B32" s="76" t="s">
        <v>438</v>
      </c>
      <c r="C32" s="76" t="s">
        <v>145</v>
      </c>
      <c r="D32" s="119">
        <v>40</v>
      </c>
      <c r="E32" s="128">
        <v>6</v>
      </c>
      <c r="F32" s="129">
        <v>65000</v>
      </c>
      <c r="G32" s="76">
        <v>100</v>
      </c>
      <c r="H32" s="76">
        <v>20</v>
      </c>
      <c r="I32" s="122">
        <f>F32*(VLOOKUP(C32,MachineCoefficientTable,2,FALSE)-(VLOOKUP(C32,MachineCoefficientTable,3,FALSE)*(H32^0.5))-(VLOOKUP(C32,MachineCoefficientTable,4,FALSE)*(G32^0.5)))^2</f>
        <v>10351.439156563858</v>
      </c>
      <c r="J32" s="123">
        <f>IF(ISBLANK(B32),"",PMT(InterestRate_Machinery,H32,-F32,I32,1))</f>
        <v>5519.1755839549342</v>
      </c>
      <c r="K32" s="125">
        <f>F32*0.02</f>
        <v>1300</v>
      </c>
      <c r="L32" s="125">
        <f>J32+K32</f>
        <v>6819.1755839549342</v>
      </c>
      <c r="M32" s="122">
        <f>(VLOOKUP(C32,MachineCoefficientTable,5,FALSE)*F32*((G32*H32)/1000)^VLOOKUP(C32,MachineCoefficientTable,6,FALSE))/H32</f>
        <v>1900.670607473591</v>
      </c>
      <c r="N32" s="123">
        <f>L32/G32</f>
        <v>68.191755839549344</v>
      </c>
      <c r="O32" s="125">
        <f>M32/G32</f>
        <v>19.006706074735909</v>
      </c>
    </row>
    <row r="33" spans="2:15" x14ac:dyDescent="0.25">
      <c r="B33" s="76" t="s">
        <v>439</v>
      </c>
      <c r="C33" s="76" t="s">
        <v>159</v>
      </c>
      <c r="D33" s="119">
        <v>53</v>
      </c>
      <c r="E33" s="128">
        <v>5</v>
      </c>
      <c r="F33" s="129">
        <v>32000</v>
      </c>
      <c r="G33" s="76">
        <v>100</v>
      </c>
      <c r="H33" s="76">
        <v>20</v>
      </c>
      <c r="I33" s="122">
        <f>F33*(VLOOKUP(C33,MachineCoefficientTable,2,FALSE)-(VLOOKUP(C33,MachineCoefficientTable,3,FALSE)*(H33^0.5))-(VLOOKUP(C33,MachineCoefficientTable,4,FALSE)*(G33^0.5)))^2</f>
        <v>8320.6238032464516</v>
      </c>
      <c r="J33" s="123">
        <f>IF(ISBLANK(B33),"",PMT(InterestRate_Machinery,H33,-F33,I33,1))</f>
        <v>2644.0571037899281</v>
      </c>
      <c r="K33" s="125">
        <f>F33*0.02</f>
        <v>640</v>
      </c>
      <c r="L33" s="125">
        <f>J33+K33</f>
        <v>3284.0571037899281</v>
      </c>
      <c r="M33" s="122">
        <f>(VLOOKUP(C33,MachineCoefficientTable,5,FALSE)*F33*((G33*H33)/1000)^VLOOKUP(C33,MachineCoefficientTable,6,FALSE))/H33</f>
        <v>1615.7418454776064</v>
      </c>
      <c r="N33" s="123">
        <f>L33/G33</f>
        <v>32.840571037899281</v>
      </c>
      <c r="O33" s="125">
        <f>M33/G33</f>
        <v>16.157418454776064</v>
      </c>
    </row>
    <row r="34" spans="2:15" x14ac:dyDescent="0.25">
      <c r="B34" s="76" t="s">
        <v>157</v>
      </c>
      <c r="C34" s="76" t="s">
        <v>153</v>
      </c>
      <c r="D34" s="119"/>
      <c r="E34" s="128"/>
      <c r="F34" s="129">
        <v>12500</v>
      </c>
      <c r="G34" s="76">
        <v>200</v>
      </c>
      <c r="H34" s="76">
        <v>20</v>
      </c>
      <c r="I34" s="122">
        <f t="shared" si="22"/>
        <v>2617.316272761941</v>
      </c>
      <c r="J34" s="123">
        <f t="shared" si="16"/>
        <v>1047.1784379660101</v>
      </c>
      <c r="K34" s="125">
        <f t="shared" si="17"/>
        <v>250</v>
      </c>
      <c r="L34" s="125">
        <f t="shared" si="18"/>
        <v>1297.1784379660101</v>
      </c>
      <c r="M34" s="122">
        <f t="shared" si="19"/>
        <v>719.965369092439</v>
      </c>
      <c r="N34" s="123">
        <f t="shared" si="20"/>
        <v>6.4858921898300501</v>
      </c>
      <c r="O34" s="125">
        <f t="shared" si="21"/>
        <v>3.5998268454621951</v>
      </c>
    </row>
    <row r="35" spans="2:15" x14ac:dyDescent="0.25">
      <c r="B35" s="76" t="s">
        <v>35</v>
      </c>
      <c r="C35" s="76" t="s">
        <v>153</v>
      </c>
      <c r="D35" s="119"/>
      <c r="E35" s="128"/>
      <c r="F35" s="129">
        <v>16500</v>
      </c>
      <c r="G35" s="76">
        <v>200</v>
      </c>
      <c r="H35" s="76">
        <v>20</v>
      </c>
      <c r="I35" s="122">
        <f t="shared" si="22"/>
        <v>3454.8574800457618</v>
      </c>
      <c r="J35" s="123">
        <f t="shared" si="16"/>
        <v>1382.2755381151333</v>
      </c>
      <c r="K35" s="125">
        <f t="shared" si="17"/>
        <v>330</v>
      </c>
      <c r="L35" s="125">
        <f t="shared" si="18"/>
        <v>1712.2755381151333</v>
      </c>
      <c r="M35" s="122">
        <f t="shared" si="19"/>
        <v>950.35428720201958</v>
      </c>
      <c r="N35" s="123">
        <f t="shared" si="20"/>
        <v>8.5613776905756662</v>
      </c>
      <c r="O35" s="125">
        <f t="shared" si="21"/>
        <v>4.751771436010098</v>
      </c>
    </row>
    <row r="36" spans="2:15" x14ac:dyDescent="0.25">
      <c r="B36" s="76" t="s">
        <v>417</v>
      </c>
      <c r="C36" s="76" t="s">
        <v>159</v>
      </c>
      <c r="D36" s="119">
        <v>9</v>
      </c>
      <c r="E36" s="128">
        <v>4.5</v>
      </c>
      <c r="F36" s="129">
        <v>32900</v>
      </c>
      <c r="G36" s="76">
        <v>100</v>
      </c>
      <c r="H36" s="76">
        <v>20</v>
      </c>
      <c r="I36" s="122">
        <f t="shared" ref="I36:I47" si="23">F36*(VLOOKUP(C36,MachineCoefficientTable,2,FALSE)-(VLOOKUP(C36,MachineCoefficientTable,3,FALSE)*(H36^0.5))-(VLOOKUP(C36,MachineCoefficientTable,4,FALSE)*(G36^0.5)))^2</f>
        <v>8554.6413477127589</v>
      </c>
      <c r="J36" s="123">
        <f t="shared" ref="J36:J47" si="24">IF(ISBLANK(B36),"",PMT(InterestRate_Machinery,H36,-F36,I36,1))</f>
        <v>2718.4212098340195</v>
      </c>
      <c r="K36" s="125">
        <f t="shared" ref="K36:K47" si="25">F36*0.02</f>
        <v>658</v>
      </c>
      <c r="L36" s="125">
        <f t="shared" ref="L36:L47" si="26">J36+K36</f>
        <v>3376.4212098340195</v>
      </c>
      <c r="M36" s="122">
        <f t="shared" ref="M36:M47" si="27">(VLOOKUP(C36,MachineCoefficientTable,5,FALSE)*F36*((G36*H36)/1000)^VLOOKUP(C36,MachineCoefficientTable,6,FALSE))/H36</f>
        <v>1661.184584881664</v>
      </c>
      <c r="N36" s="123">
        <f t="shared" ref="N36:N47" si="28">L36/G36</f>
        <v>33.764212098340195</v>
      </c>
      <c r="O36" s="125">
        <f t="shared" ref="O36:O47" si="29">M36/G36</f>
        <v>16.611845848816639</v>
      </c>
    </row>
    <row r="37" spans="2:15" x14ac:dyDescent="0.25">
      <c r="B37" s="76" t="s">
        <v>419</v>
      </c>
      <c r="C37" s="76" t="s">
        <v>150</v>
      </c>
      <c r="D37" s="119">
        <v>30</v>
      </c>
      <c r="E37" s="128">
        <v>7</v>
      </c>
      <c r="F37" s="129">
        <v>19200</v>
      </c>
      <c r="G37" s="76">
        <v>100</v>
      </c>
      <c r="H37" s="76">
        <v>20</v>
      </c>
      <c r="I37" s="122">
        <f>F37*(VLOOKUP(C37,MachineCoefficientTable,2,FALSE)-(VLOOKUP(C37,MachineCoefficientTable,3,FALSE)*(H37^0.5))-(VLOOKUP(C37,MachineCoefficientTable,4,FALSE)*(G37^0.5)))^2</f>
        <v>3057.6558739388629</v>
      </c>
      <c r="J37" s="123">
        <f>IF(ISBLANK(B37),"",PMT(InterestRate_Machinery,H37,-F37,I37,1))</f>
        <v>1630.2795571066883</v>
      </c>
      <c r="K37" s="125">
        <f>F37*0.02</f>
        <v>384</v>
      </c>
      <c r="L37" s="125">
        <f>J37+K37</f>
        <v>2014.2795571066883</v>
      </c>
      <c r="M37" s="122">
        <f>(VLOOKUP(C37,MachineCoefficientTable,5,FALSE)*F37*((G37*H37)/1000)^VLOOKUP(C37,MachineCoefficientTable,6,FALSE))/H37</f>
        <v>684.03290094466843</v>
      </c>
      <c r="N37" s="123">
        <f>L37/G37</f>
        <v>20.142795571066884</v>
      </c>
      <c r="O37" s="125">
        <f>M37/G37</f>
        <v>6.840329009446684</v>
      </c>
    </row>
    <row r="38" spans="2:15" x14ac:dyDescent="0.25">
      <c r="B38" s="76" t="s">
        <v>162</v>
      </c>
      <c r="C38" s="76" t="s">
        <v>132</v>
      </c>
      <c r="D38" s="119">
        <v>30</v>
      </c>
      <c r="E38" s="128">
        <v>6.5</v>
      </c>
      <c r="F38" s="129">
        <v>12360</v>
      </c>
      <c r="G38" s="76">
        <v>100</v>
      </c>
      <c r="H38" s="76">
        <v>20</v>
      </c>
      <c r="I38" s="122">
        <f t="shared" si="23"/>
        <v>2465.1429978671727</v>
      </c>
      <c r="J38" s="123">
        <f t="shared" si="24"/>
        <v>1038.2343225069678</v>
      </c>
      <c r="K38" s="125">
        <f t="shared" si="25"/>
        <v>247.20000000000002</v>
      </c>
      <c r="L38" s="125">
        <f t="shared" si="26"/>
        <v>1285.4343225069679</v>
      </c>
      <c r="M38" s="122">
        <f t="shared" si="27"/>
        <v>623.89474290666976</v>
      </c>
      <c r="N38" s="123">
        <f t="shared" si="28"/>
        <v>12.854343225069679</v>
      </c>
      <c r="O38" s="125">
        <f t="shared" si="29"/>
        <v>6.2389474290666973</v>
      </c>
    </row>
    <row r="39" spans="2:15" x14ac:dyDescent="0.25">
      <c r="B39" s="76" t="s">
        <v>163</v>
      </c>
      <c r="C39" s="76" t="s">
        <v>132</v>
      </c>
      <c r="D39" s="119">
        <v>30</v>
      </c>
      <c r="E39" s="128">
        <v>6.5</v>
      </c>
      <c r="F39" s="129">
        <v>18950</v>
      </c>
      <c r="G39" s="76">
        <v>100</v>
      </c>
      <c r="H39" s="76">
        <v>20</v>
      </c>
      <c r="I39" s="122">
        <f t="shared" si="23"/>
        <v>3779.4870396102688</v>
      </c>
      <c r="J39" s="123">
        <f t="shared" si="24"/>
        <v>1591.7912954293722</v>
      </c>
      <c r="K39" s="125">
        <f t="shared" si="25"/>
        <v>379</v>
      </c>
      <c r="L39" s="125">
        <f t="shared" si="26"/>
        <v>1970.7912954293722</v>
      </c>
      <c r="M39" s="122">
        <f t="shared" si="27"/>
        <v>956.53765194833272</v>
      </c>
      <c r="N39" s="123">
        <f t="shared" si="28"/>
        <v>19.707912954293722</v>
      </c>
      <c r="O39" s="125">
        <f t="shared" si="29"/>
        <v>9.565376519483328</v>
      </c>
    </row>
    <row r="40" spans="2:15" x14ac:dyDescent="0.25">
      <c r="B40" s="76" t="s">
        <v>164</v>
      </c>
      <c r="C40" s="76" t="s">
        <v>132</v>
      </c>
      <c r="D40" s="119">
        <v>45</v>
      </c>
      <c r="E40" s="128">
        <v>6.5</v>
      </c>
      <c r="F40" s="129">
        <v>27480</v>
      </c>
      <c r="G40" s="76">
        <v>100</v>
      </c>
      <c r="H40" s="76">
        <v>20</v>
      </c>
      <c r="I40" s="122">
        <f t="shared" si="23"/>
        <v>5480.7548205008015</v>
      </c>
      <c r="J40" s="123">
        <f t="shared" si="24"/>
        <v>2308.3073772242292</v>
      </c>
      <c r="K40" s="125">
        <f t="shared" si="25"/>
        <v>549.6</v>
      </c>
      <c r="L40" s="125">
        <f t="shared" si="26"/>
        <v>2857.9073772242291</v>
      </c>
      <c r="M40" s="122">
        <f t="shared" si="27"/>
        <v>1387.1057876274504</v>
      </c>
      <c r="N40" s="123">
        <f t="shared" si="28"/>
        <v>28.579073772242293</v>
      </c>
      <c r="O40" s="125">
        <f t="shared" si="29"/>
        <v>13.871057876274504</v>
      </c>
    </row>
    <row r="41" spans="2:15" x14ac:dyDescent="0.25">
      <c r="B41" s="76" t="s">
        <v>165</v>
      </c>
      <c r="C41" s="76" t="s">
        <v>132</v>
      </c>
      <c r="D41" s="119">
        <v>60</v>
      </c>
      <c r="E41" s="128">
        <v>6.5</v>
      </c>
      <c r="F41" s="129">
        <v>29880</v>
      </c>
      <c r="G41" s="76">
        <v>100</v>
      </c>
      <c r="H41" s="76">
        <v>20</v>
      </c>
      <c r="I41" s="122">
        <f t="shared" si="23"/>
        <v>5959.4233637759799</v>
      </c>
      <c r="J41" s="123">
        <f t="shared" si="24"/>
        <v>2509.9062747983976</v>
      </c>
      <c r="K41" s="125">
        <f t="shared" si="25"/>
        <v>597.6</v>
      </c>
      <c r="L41" s="125">
        <f t="shared" si="26"/>
        <v>3107.5062747983975</v>
      </c>
      <c r="M41" s="122">
        <f t="shared" si="27"/>
        <v>1508.2503979005901</v>
      </c>
      <c r="N41" s="123">
        <f t="shared" si="28"/>
        <v>31.075062747983974</v>
      </c>
      <c r="O41" s="125">
        <f t="shared" si="29"/>
        <v>15.082503979005901</v>
      </c>
    </row>
    <row r="42" spans="2:15" x14ac:dyDescent="0.25">
      <c r="B42" s="76" t="s">
        <v>166</v>
      </c>
      <c r="C42" s="76" t="s">
        <v>132</v>
      </c>
      <c r="D42" s="119">
        <v>45</v>
      </c>
      <c r="E42" s="128">
        <v>6.5</v>
      </c>
      <c r="F42" s="129">
        <v>19563</v>
      </c>
      <c r="G42" s="76">
        <v>100</v>
      </c>
      <c r="H42" s="76">
        <v>20</v>
      </c>
      <c r="I42" s="122">
        <f t="shared" si="23"/>
        <v>3901.7469633718038</v>
      </c>
      <c r="J42" s="123">
        <f t="shared" si="24"/>
        <v>1643.2830138514412</v>
      </c>
      <c r="K42" s="125">
        <f t="shared" si="25"/>
        <v>391.26</v>
      </c>
      <c r="L42" s="125">
        <f t="shared" si="26"/>
        <v>2034.5430138514412</v>
      </c>
      <c r="M42" s="122">
        <f t="shared" si="27"/>
        <v>987.48000448893049</v>
      </c>
      <c r="N42" s="123">
        <f t="shared" si="28"/>
        <v>20.345430138514413</v>
      </c>
      <c r="O42" s="125">
        <f t="shared" si="29"/>
        <v>9.8748000448893052</v>
      </c>
    </row>
    <row r="43" spans="2:15" x14ac:dyDescent="0.25">
      <c r="B43" s="76" t="s">
        <v>167</v>
      </c>
      <c r="C43" s="76" t="s">
        <v>132</v>
      </c>
      <c r="D43" s="119">
        <v>60</v>
      </c>
      <c r="E43" s="128">
        <v>6.5</v>
      </c>
      <c r="F43" s="129">
        <v>28149</v>
      </c>
      <c r="G43" s="76">
        <v>100</v>
      </c>
      <c r="H43" s="76">
        <v>20</v>
      </c>
      <c r="I43" s="122">
        <f t="shared" si="23"/>
        <v>5614.1836769387573</v>
      </c>
      <c r="J43" s="123">
        <f t="shared" si="24"/>
        <v>2364.5030699230288</v>
      </c>
      <c r="K43" s="125">
        <f t="shared" si="25"/>
        <v>562.98</v>
      </c>
      <c r="L43" s="125">
        <f t="shared" si="26"/>
        <v>2927.4830699230288</v>
      </c>
      <c r="M43" s="122">
        <f t="shared" si="27"/>
        <v>1420.8748477410879</v>
      </c>
      <c r="N43" s="123">
        <f t="shared" si="28"/>
        <v>29.274830699230289</v>
      </c>
      <c r="O43" s="125">
        <f t="shared" si="29"/>
        <v>14.208748477410879</v>
      </c>
    </row>
    <row r="44" spans="2:15" x14ac:dyDescent="0.25">
      <c r="B44" s="76" t="s">
        <v>168</v>
      </c>
      <c r="C44" s="76" t="s">
        <v>132</v>
      </c>
      <c r="D44" s="119">
        <v>60</v>
      </c>
      <c r="E44" s="128">
        <v>6.5</v>
      </c>
      <c r="F44" s="129">
        <v>43029</v>
      </c>
      <c r="G44" s="76">
        <v>100</v>
      </c>
      <c r="H44" s="76">
        <v>20</v>
      </c>
      <c r="I44" s="122">
        <f t="shared" si="23"/>
        <v>8581.9286452448687</v>
      </c>
      <c r="J44" s="123">
        <f t="shared" si="24"/>
        <v>3614.4162348828731</v>
      </c>
      <c r="K44" s="125">
        <f t="shared" si="25"/>
        <v>860.58</v>
      </c>
      <c r="L44" s="125">
        <f t="shared" si="26"/>
        <v>4474.9962348828731</v>
      </c>
      <c r="M44" s="122">
        <f t="shared" si="27"/>
        <v>2171.9714314345542</v>
      </c>
      <c r="N44" s="123">
        <f t="shared" si="28"/>
        <v>44.749962348828731</v>
      </c>
      <c r="O44" s="125">
        <f t="shared" si="29"/>
        <v>21.719714314345541</v>
      </c>
    </row>
    <row r="45" spans="2:15" x14ac:dyDescent="0.25">
      <c r="B45" s="76" t="s">
        <v>32</v>
      </c>
      <c r="C45" s="76" t="s">
        <v>146</v>
      </c>
      <c r="D45" s="119">
        <v>50</v>
      </c>
      <c r="E45" s="128">
        <v>7</v>
      </c>
      <c r="F45" s="129">
        <v>48100</v>
      </c>
      <c r="G45" s="76">
        <v>100</v>
      </c>
      <c r="H45" s="76">
        <v>20</v>
      </c>
      <c r="I45" s="122">
        <f t="shared" si="23"/>
        <v>9593.3153881400485</v>
      </c>
      <c r="J45" s="123">
        <f t="shared" si="24"/>
        <v>4040.3779055489608</v>
      </c>
      <c r="K45" s="125">
        <f t="shared" si="25"/>
        <v>962</v>
      </c>
      <c r="L45" s="125">
        <f t="shared" si="26"/>
        <v>5002.3779055489613</v>
      </c>
      <c r="M45" s="122">
        <f t="shared" si="27"/>
        <v>3730.7369157590997</v>
      </c>
      <c r="N45" s="123">
        <f t="shared" si="28"/>
        <v>50.023779055489612</v>
      </c>
      <c r="O45" s="125">
        <f t="shared" si="29"/>
        <v>37.307369157590998</v>
      </c>
    </row>
    <row r="46" spans="2:15" x14ac:dyDescent="0.25">
      <c r="B46" s="76" t="s">
        <v>444</v>
      </c>
      <c r="C46" s="76" t="s">
        <v>158</v>
      </c>
      <c r="D46" s="119">
        <v>13</v>
      </c>
      <c r="E46" s="128">
        <v>1</v>
      </c>
      <c r="F46" s="129">
        <v>15000</v>
      </c>
      <c r="G46" s="76">
        <v>200</v>
      </c>
      <c r="H46" s="76">
        <v>20</v>
      </c>
      <c r="I46" s="122">
        <f>F46*(VLOOKUP(C46,MachineCoefficientTable,2,FALSE)-(VLOOKUP(C46,MachineCoefficientTable,3,FALSE)*(H46^0.5))-(VLOOKUP(C46,MachineCoefficientTable,4,FALSE)*(G46^0.5)))^2</f>
        <v>4280.1182470607682</v>
      </c>
      <c r="J46" s="123">
        <f>IF(ISBLANK(B46),"",PMT(InterestRate_Machinery,H46,-F46,I46,1))</f>
        <v>1230.794015575849</v>
      </c>
      <c r="K46" s="125">
        <f>F46*0.02</f>
        <v>300</v>
      </c>
      <c r="L46" s="125">
        <f>J46+K46</f>
        <v>1530.794015575849</v>
      </c>
      <c r="M46" s="125">
        <f>(VLOOKUP(C46,MachineCoefficientTable,5,FALSE)*F46*((G46*H46)/1000)^VLOOKUP(C46,MachineCoefficientTable,6,FALSE))/H46</f>
        <v>4411.0016831886142</v>
      </c>
      <c r="N46" s="123">
        <f>L46/G46</f>
        <v>7.6539700778792454</v>
      </c>
      <c r="O46" s="125">
        <f>M46/G46</f>
        <v>22.055008415943071</v>
      </c>
    </row>
    <row r="47" spans="2:15" x14ac:dyDescent="0.25">
      <c r="B47" s="76" t="s">
        <v>440</v>
      </c>
      <c r="C47" s="76" t="s">
        <v>159</v>
      </c>
      <c r="D47" s="119">
        <v>53</v>
      </c>
      <c r="E47" s="128">
        <v>5</v>
      </c>
      <c r="F47" s="130">
        <v>6500</v>
      </c>
      <c r="G47" s="76">
        <v>200</v>
      </c>
      <c r="H47" s="76">
        <v>20</v>
      </c>
      <c r="I47" s="122">
        <f t="shared" si="23"/>
        <v>1690.1267100344355</v>
      </c>
      <c r="J47" s="123">
        <f t="shared" si="24"/>
        <v>537.07409920732914</v>
      </c>
      <c r="K47" s="125">
        <f t="shared" si="25"/>
        <v>130</v>
      </c>
      <c r="L47" s="125">
        <f t="shared" si="26"/>
        <v>667.07409920732914</v>
      </c>
      <c r="M47" s="122">
        <f t="shared" si="27"/>
        <v>1142.8502911488399</v>
      </c>
      <c r="N47" s="123">
        <f t="shared" si="28"/>
        <v>3.3353704960366457</v>
      </c>
      <c r="O47" s="125">
        <f t="shared" si="29"/>
        <v>5.7142514557441997</v>
      </c>
    </row>
    <row r="48" spans="2:15" x14ac:dyDescent="0.25">
      <c r="F48" s="45"/>
    </row>
    <row r="49" spans="2:16" x14ac:dyDescent="0.25">
      <c r="B49" s="275" t="s">
        <v>169</v>
      </c>
      <c r="C49" s="275"/>
      <c r="D49" s="275"/>
      <c r="E49" s="275"/>
      <c r="F49" s="275"/>
      <c r="G49" s="275"/>
      <c r="H49" s="275"/>
      <c r="I49" s="344"/>
      <c r="J49" s="342" t="s">
        <v>115</v>
      </c>
      <c r="K49" s="343"/>
      <c r="L49" s="343"/>
      <c r="M49" s="343"/>
      <c r="N49" s="342" t="s">
        <v>170</v>
      </c>
      <c r="O49" s="343"/>
      <c r="P49" s="343"/>
    </row>
    <row r="50" spans="2:16" ht="45" x14ac:dyDescent="0.25">
      <c r="B50" s="29" t="s">
        <v>171</v>
      </c>
      <c r="C50" s="64" t="s">
        <v>172</v>
      </c>
      <c r="D50" s="29" t="s">
        <v>48</v>
      </c>
      <c r="E50" s="29" t="s">
        <v>173</v>
      </c>
      <c r="F50" s="59" t="s">
        <v>120</v>
      </c>
      <c r="G50" s="58" t="s">
        <v>174</v>
      </c>
      <c r="H50" s="58" t="s">
        <v>122</v>
      </c>
      <c r="I50" s="58" t="s">
        <v>123</v>
      </c>
      <c r="J50" s="60" t="s">
        <v>124</v>
      </c>
      <c r="K50" s="58" t="s">
        <v>84</v>
      </c>
      <c r="L50" s="58" t="s">
        <v>126</v>
      </c>
      <c r="M50" s="58" t="s">
        <v>127</v>
      </c>
      <c r="N50" s="60" t="s">
        <v>128</v>
      </c>
      <c r="O50" s="59" t="s">
        <v>129</v>
      </c>
      <c r="P50" s="59" t="s">
        <v>130</v>
      </c>
    </row>
    <row r="51" spans="2:16" x14ac:dyDescent="0.25">
      <c r="B51" s="89" t="s">
        <v>175</v>
      </c>
      <c r="C51" s="99" t="s">
        <v>176</v>
      </c>
      <c r="D51" s="76" t="s">
        <v>52</v>
      </c>
      <c r="E51" s="76">
        <v>405</v>
      </c>
      <c r="F51" s="131">
        <v>53000</v>
      </c>
      <c r="G51" s="132">
        <v>12500</v>
      </c>
      <c r="H51" s="76">
        <v>10</v>
      </c>
      <c r="I51" s="132">
        <v>24000</v>
      </c>
      <c r="J51" s="123">
        <f>IF(ISBLANK(B51),"",PMT(InterestRate_Machinery,H51,-F51,I51,1))</f>
        <v>5446.5163597233604</v>
      </c>
      <c r="K51" s="105">
        <v>1545</v>
      </c>
      <c r="L51" s="133">
        <f>IF(ISBLANK(B51),"",J51+K51)</f>
        <v>6991.5163597233604</v>
      </c>
      <c r="M51" s="105">
        <v>2270</v>
      </c>
      <c r="N51" s="80">
        <f>IF(ISBLANK(B51),"",L51/G51)</f>
        <v>0.55932130877786879</v>
      </c>
      <c r="O51" s="80">
        <f>IF(ISBLANK(B51),"",M51/G51)</f>
        <v>0.18160000000000001</v>
      </c>
      <c r="P51" s="134">
        <v>6.7000000000000004E-2</v>
      </c>
    </row>
    <row r="52" spans="2:16" x14ac:dyDescent="0.25">
      <c r="B52" s="89" t="s">
        <v>51</v>
      </c>
      <c r="C52" s="99" t="s">
        <v>177</v>
      </c>
      <c r="D52" s="76" t="s">
        <v>52</v>
      </c>
      <c r="E52" s="76">
        <v>405</v>
      </c>
      <c r="F52" s="131">
        <v>51500</v>
      </c>
      <c r="G52" s="132">
        <v>12500</v>
      </c>
      <c r="H52" s="76">
        <v>10</v>
      </c>
      <c r="I52" s="132">
        <v>22500</v>
      </c>
      <c r="J52" s="123">
        <f>IF(ISBLANK(B52),"",PMT(InterestRate_Machinery,H52,-F52,I52,1))</f>
        <v>5347.7307455243881</v>
      </c>
      <c r="K52" s="105">
        <v>1524</v>
      </c>
      <c r="L52" s="133">
        <f t="shared" ref="L52:L55" si="30">IF(ISBLANK(B52),"",J52+K52)</f>
        <v>6871.7307455243881</v>
      </c>
      <c r="M52" s="105">
        <v>2270</v>
      </c>
      <c r="N52" s="80">
        <f t="shared" ref="N52:N55" si="31">IF(ISBLANK(B52),"",L52/G52)</f>
        <v>0.549738459641951</v>
      </c>
      <c r="O52" s="80">
        <f t="shared" ref="O52:O55" si="32">IF(ISBLANK(B52),"",M52/G52)</f>
        <v>0.18160000000000001</v>
      </c>
      <c r="P52" s="134">
        <v>6.7000000000000004E-2</v>
      </c>
    </row>
    <row r="53" spans="2:16" x14ac:dyDescent="0.25">
      <c r="B53" s="89" t="s">
        <v>53</v>
      </c>
      <c r="C53" s="99" t="s">
        <v>178</v>
      </c>
      <c r="D53" s="76" t="s">
        <v>52</v>
      </c>
      <c r="E53" s="76">
        <v>350</v>
      </c>
      <c r="F53" s="131">
        <v>42000</v>
      </c>
      <c r="G53" s="132">
        <v>12500</v>
      </c>
      <c r="H53" s="76">
        <v>10</v>
      </c>
      <c r="I53" s="132">
        <v>12000</v>
      </c>
      <c r="J53" s="123">
        <f>IF(ISBLANK(B53),"",PMT(InterestRate_Machinery,H53,-F53,I53,1))</f>
        <v>4789.5399472536437</v>
      </c>
      <c r="K53" s="105">
        <v>1391</v>
      </c>
      <c r="L53" s="133">
        <f t="shared" si="30"/>
        <v>6180.5399472536437</v>
      </c>
      <c r="M53" s="105">
        <v>1530</v>
      </c>
      <c r="N53" s="80">
        <f t="shared" si="31"/>
        <v>0.4944431957802915</v>
      </c>
      <c r="O53" s="80">
        <f t="shared" si="32"/>
        <v>0.12239999999999999</v>
      </c>
      <c r="P53" s="134">
        <v>0.05</v>
      </c>
    </row>
    <row r="54" spans="2:16" x14ac:dyDescent="0.25">
      <c r="B54" s="89"/>
      <c r="C54" s="99"/>
      <c r="D54" s="76"/>
      <c r="E54" s="76"/>
      <c r="F54" s="131"/>
      <c r="G54" s="132"/>
      <c r="H54" s="76"/>
      <c r="I54" s="132"/>
      <c r="J54" s="123" t="str">
        <f>IF(ISBLANK(B54),"",PMT(InterestRate_Machinery,H54,-F54,I54,1))</f>
        <v/>
      </c>
      <c r="K54" s="105"/>
      <c r="L54" s="133" t="str">
        <f t="shared" si="30"/>
        <v/>
      </c>
      <c r="M54" s="105"/>
      <c r="N54" s="80" t="str">
        <f t="shared" si="31"/>
        <v/>
      </c>
      <c r="O54" s="80" t="str">
        <f t="shared" si="32"/>
        <v/>
      </c>
      <c r="P54" s="134"/>
    </row>
    <row r="55" spans="2:16" x14ac:dyDescent="0.25">
      <c r="B55" s="135"/>
      <c r="C55" s="110"/>
      <c r="D55" s="118"/>
      <c r="E55" s="118"/>
      <c r="F55" s="136"/>
      <c r="G55" s="137"/>
      <c r="H55" s="118"/>
      <c r="I55" s="137"/>
      <c r="J55" s="127" t="str">
        <f>IF(ISBLANK(B55),"",PMT(InterestRate_Machinery,H55,-F55,I55,1))</f>
        <v/>
      </c>
      <c r="K55" s="138"/>
      <c r="L55" s="139" t="str">
        <f t="shared" si="30"/>
        <v/>
      </c>
      <c r="M55" s="138"/>
      <c r="N55" s="140" t="str">
        <f t="shared" si="31"/>
        <v/>
      </c>
      <c r="O55" s="140" t="str">
        <f t="shared" si="32"/>
        <v/>
      </c>
      <c r="P55" s="141"/>
    </row>
    <row r="56" spans="2:16" x14ac:dyDescent="0.25">
      <c r="F56" s="45"/>
    </row>
    <row r="57" spans="2:16" x14ac:dyDescent="0.25">
      <c r="F57" s="45"/>
    </row>
    <row r="58" spans="2:16" x14ac:dyDescent="0.25">
      <c r="F58" s="45"/>
    </row>
    <row r="59" spans="2:16" x14ac:dyDescent="0.25">
      <c r="F59" s="45"/>
    </row>
    <row r="60" spans="2:16" x14ac:dyDescent="0.25">
      <c r="F60" s="45"/>
    </row>
    <row r="61" spans="2:16" x14ac:dyDescent="0.25">
      <c r="F61" s="45"/>
    </row>
    <row r="62" spans="2:16" x14ac:dyDescent="0.25">
      <c r="F62" s="45"/>
    </row>
    <row r="63" spans="2:16" x14ac:dyDescent="0.25">
      <c r="F63" s="45"/>
    </row>
    <row r="64" spans="2:16" x14ac:dyDescent="0.25">
      <c r="F64" s="45"/>
    </row>
    <row r="65" spans="6:6" x14ac:dyDescent="0.25">
      <c r="F65" s="45"/>
    </row>
    <row r="66" spans="6:6" x14ac:dyDescent="0.25">
      <c r="F66" s="45"/>
    </row>
    <row r="67" spans="6:6" x14ac:dyDescent="0.25">
      <c r="F67" s="45"/>
    </row>
    <row r="68" spans="6:6" ht="15" customHeight="1" x14ac:dyDescent="0.25">
      <c r="F68" s="45"/>
    </row>
    <row r="69" spans="6:6" x14ac:dyDescent="0.25">
      <c r="F69" s="45"/>
    </row>
    <row r="70" spans="6:6" x14ac:dyDescent="0.25">
      <c r="F70" s="45"/>
    </row>
    <row r="71" spans="6:6" x14ac:dyDescent="0.25">
      <c r="F71" s="45"/>
    </row>
    <row r="72" spans="6:6" x14ac:dyDescent="0.25">
      <c r="F72" s="45"/>
    </row>
    <row r="73" spans="6:6" x14ac:dyDescent="0.25">
      <c r="F73" s="45"/>
    </row>
    <row r="74" spans="6:6" x14ac:dyDescent="0.25">
      <c r="F74" s="45"/>
    </row>
    <row r="75" spans="6:6" x14ac:dyDescent="0.25">
      <c r="F75" s="45"/>
    </row>
    <row r="76" spans="6:6" x14ac:dyDescent="0.25">
      <c r="F76" s="45"/>
    </row>
    <row r="77" spans="6:6" x14ac:dyDescent="0.25">
      <c r="F77" s="45"/>
    </row>
    <row r="78" spans="6:6" x14ac:dyDescent="0.25">
      <c r="F78" s="45"/>
    </row>
    <row r="79" spans="6:6" x14ac:dyDescent="0.25">
      <c r="F79" s="45"/>
    </row>
    <row r="80" spans="6:6" x14ac:dyDescent="0.25">
      <c r="F80" s="45"/>
    </row>
    <row r="81" spans="6:6" x14ac:dyDescent="0.25">
      <c r="F81" s="45"/>
    </row>
    <row r="82" spans="6:6" x14ac:dyDescent="0.25">
      <c r="F82" s="45"/>
    </row>
    <row r="83" spans="6:6" x14ac:dyDescent="0.25">
      <c r="F83" s="45"/>
    </row>
    <row r="84" spans="6:6" x14ac:dyDescent="0.25">
      <c r="F84" s="45"/>
    </row>
    <row r="85" spans="6:6" x14ac:dyDescent="0.25">
      <c r="F85" s="45"/>
    </row>
    <row r="86" spans="6:6" x14ac:dyDescent="0.25">
      <c r="F86" s="45"/>
    </row>
    <row r="87" spans="6:6" x14ac:dyDescent="0.25">
      <c r="F87" s="45"/>
    </row>
    <row r="88" spans="6:6" x14ac:dyDescent="0.25">
      <c r="F88" s="45"/>
    </row>
    <row r="89" spans="6:6" x14ac:dyDescent="0.25">
      <c r="F89" s="45"/>
    </row>
    <row r="90" spans="6:6" x14ac:dyDescent="0.25">
      <c r="F90" s="45"/>
    </row>
    <row r="91" spans="6:6" x14ac:dyDescent="0.25">
      <c r="F91" s="45"/>
    </row>
    <row r="92" spans="6:6" x14ac:dyDescent="0.25">
      <c r="F92" s="45"/>
    </row>
    <row r="93" spans="6:6" x14ac:dyDescent="0.25">
      <c r="F93" s="45"/>
    </row>
    <row r="94" spans="6:6" x14ac:dyDescent="0.25">
      <c r="F94" s="45"/>
    </row>
    <row r="95" spans="6:6" x14ac:dyDescent="0.25">
      <c r="F95" s="45"/>
    </row>
    <row r="96" spans="6:6" x14ac:dyDescent="0.25">
      <c r="F96" s="45"/>
    </row>
    <row r="97" spans="6:6" x14ac:dyDescent="0.25">
      <c r="F97" s="45"/>
    </row>
    <row r="98" spans="6:6" x14ac:dyDescent="0.25">
      <c r="F98" s="45"/>
    </row>
    <row r="99" spans="6:6" x14ac:dyDescent="0.25">
      <c r="F99" s="45"/>
    </row>
    <row r="100" spans="6:6" x14ac:dyDescent="0.25">
      <c r="F100" s="45"/>
    </row>
    <row r="101" spans="6:6" x14ac:dyDescent="0.25">
      <c r="F101" s="45"/>
    </row>
    <row r="102" spans="6:6" x14ac:dyDescent="0.25">
      <c r="F102" s="45"/>
    </row>
    <row r="103" spans="6:6" x14ac:dyDescent="0.25">
      <c r="F103" s="45"/>
    </row>
    <row r="104" spans="6:6" x14ac:dyDescent="0.25">
      <c r="F104" s="45"/>
    </row>
    <row r="105" spans="6:6" x14ac:dyDescent="0.25">
      <c r="F105" s="45"/>
    </row>
    <row r="106" spans="6:6" x14ac:dyDescent="0.25">
      <c r="F106" s="45"/>
    </row>
    <row r="107" spans="6:6" x14ac:dyDescent="0.25">
      <c r="F107" s="45"/>
    </row>
    <row r="108" spans="6:6" x14ac:dyDescent="0.25">
      <c r="F108" s="45"/>
    </row>
    <row r="109" spans="6:6" x14ac:dyDescent="0.25">
      <c r="F109" s="45"/>
    </row>
    <row r="110" spans="6:6" x14ac:dyDescent="0.25">
      <c r="F110" s="45"/>
    </row>
    <row r="111" spans="6:6" x14ac:dyDescent="0.25">
      <c r="F111" s="45"/>
    </row>
    <row r="112" spans="6:6" x14ac:dyDescent="0.25">
      <c r="F112" s="45"/>
    </row>
    <row r="113" spans="6:6" x14ac:dyDescent="0.25">
      <c r="F113" s="45"/>
    </row>
    <row r="114" spans="6:6" x14ac:dyDescent="0.25">
      <c r="F114" s="45"/>
    </row>
    <row r="115" spans="6:6" x14ac:dyDescent="0.25">
      <c r="F115" s="45"/>
    </row>
    <row r="116" spans="6:6" x14ac:dyDescent="0.25">
      <c r="F116" s="45"/>
    </row>
    <row r="117" spans="6:6" x14ac:dyDescent="0.25">
      <c r="F117" s="45"/>
    </row>
    <row r="118" spans="6:6" x14ac:dyDescent="0.25">
      <c r="F118" s="45"/>
    </row>
    <row r="119" spans="6:6" x14ac:dyDescent="0.25">
      <c r="F119" s="45"/>
    </row>
    <row r="120" spans="6:6" x14ac:dyDescent="0.25">
      <c r="F120" s="45"/>
    </row>
    <row r="121" spans="6:6" x14ac:dyDescent="0.25">
      <c r="F121" s="45"/>
    </row>
    <row r="122" spans="6:6" x14ac:dyDescent="0.25">
      <c r="F122" s="45"/>
    </row>
    <row r="123" spans="6:6" x14ac:dyDescent="0.25">
      <c r="F123" s="45"/>
    </row>
    <row r="124" spans="6:6" x14ac:dyDescent="0.25">
      <c r="F124" s="45"/>
    </row>
    <row r="125" spans="6:6" x14ac:dyDescent="0.25">
      <c r="F125" s="45"/>
    </row>
    <row r="126" spans="6:6" x14ac:dyDescent="0.25">
      <c r="F126" s="45"/>
    </row>
    <row r="127" spans="6:6" x14ac:dyDescent="0.25">
      <c r="F127" s="45"/>
    </row>
    <row r="128" spans="6:6" x14ac:dyDescent="0.25">
      <c r="F128" s="45"/>
    </row>
    <row r="129" spans="6:6" x14ac:dyDescent="0.25">
      <c r="F129" s="45"/>
    </row>
    <row r="130" spans="6:6" x14ac:dyDescent="0.25">
      <c r="F130" s="45"/>
    </row>
    <row r="131" spans="6:6" x14ac:dyDescent="0.25">
      <c r="F131" s="45"/>
    </row>
    <row r="132" spans="6:6" x14ac:dyDescent="0.25">
      <c r="F132" s="45"/>
    </row>
    <row r="133" spans="6:6" x14ac:dyDescent="0.25">
      <c r="F133" s="45"/>
    </row>
    <row r="134" spans="6:6" x14ac:dyDescent="0.25">
      <c r="F134" s="45"/>
    </row>
    <row r="135" spans="6:6" x14ac:dyDescent="0.25">
      <c r="F135" s="45"/>
    </row>
    <row r="136" spans="6:6" x14ac:dyDescent="0.25">
      <c r="F136" s="45"/>
    </row>
    <row r="137" spans="6:6" x14ac:dyDescent="0.25">
      <c r="F137" s="45"/>
    </row>
    <row r="138" spans="6:6" x14ac:dyDescent="0.25">
      <c r="F138" s="45"/>
    </row>
    <row r="139" spans="6:6" x14ac:dyDescent="0.25">
      <c r="F139" s="45"/>
    </row>
    <row r="140" spans="6:6" x14ac:dyDescent="0.25">
      <c r="F140" s="45"/>
    </row>
    <row r="141" spans="6:6" x14ac:dyDescent="0.25">
      <c r="F141" s="45"/>
    </row>
    <row r="142" spans="6:6" x14ac:dyDescent="0.25">
      <c r="F142" s="45"/>
    </row>
    <row r="143" spans="6:6" x14ac:dyDescent="0.25">
      <c r="F143" s="45"/>
    </row>
    <row r="144" spans="6:6" x14ac:dyDescent="0.25">
      <c r="F144" s="45"/>
    </row>
    <row r="145" spans="6:6" x14ac:dyDescent="0.25">
      <c r="F145" s="45"/>
    </row>
    <row r="146" spans="6:6" x14ac:dyDescent="0.25">
      <c r="F146" s="45"/>
    </row>
    <row r="147" spans="6:6" x14ac:dyDescent="0.25">
      <c r="F147" s="45"/>
    </row>
    <row r="148" spans="6:6" x14ac:dyDescent="0.25">
      <c r="F148" s="45"/>
    </row>
    <row r="149" spans="6:6" x14ac:dyDescent="0.25">
      <c r="F149" s="45"/>
    </row>
    <row r="150" spans="6:6" x14ac:dyDescent="0.25">
      <c r="F150" s="45"/>
    </row>
    <row r="151" spans="6:6" x14ac:dyDescent="0.25">
      <c r="F151" s="45"/>
    </row>
    <row r="152" spans="6:6" x14ac:dyDescent="0.25">
      <c r="F152" s="45"/>
    </row>
    <row r="153" spans="6:6" x14ac:dyDescent="0.25">
      <c r="F153" s="45"/>
    </row>
    <row r="154" spans="6:6" x14ac:dyDescent="0.25">
      <c r="F154" s="45"/>
    </row>
    <row r="155" spans="6:6" x14ac:dyDescent="0.25">
      <c r="F155" s="45"/>
    </row>
    <row r="156" spans="6:6" x14ac:dyDescent="0.25">
      <c r="F156" s="45"/>
    </row>
    <row r="157" spans="6:6" x14ac:dyDescent="0.25">
      <c r="F157" s="45"/>
    </row>
    <row r="158" spans="6:6" x14ac:dyDescent="0.25">
      <c r="F158" s="45"/>
    </row>
    <row r="159" spans="6:6" x14ac:dyDescent="0.25">
      <c r="F159" s="45"/>
    </row>
    <row r="160" spans="6:6" x14ac:dyDescent="0.25">
      <c r="F160" s="45"/>
    </row>
    <row r="161" spans="6:6" x14ac:dyDescent="0.25">
      <c r="F161" s="45"/>
    </row>
    <row r="162" spans="6:6" x14ac:dyDescent="0.25">
      <c r="F162" s="45"/>
    </row>
    <row r="163" spans="6:6" x14ac:dyDescent="0.25">
      <c r="F163" s="45"/>
    </row>
    <row r="164" spans="6:6" x14ac:dyDescent="0.25">
      <c r="F164" s="45"/>
    </row>
    <row r="165" spans="6:6" x14ac:dyDescent="0.25">
      <c r="F165" s="45"/>
    </row>
    <row r="166" spans="6:6" x14ac:dyDescent="0.25">
      <c r="F166" s="45"/>
    </row>
    <row r="167" spans="6:6" x14ac:dyDescent="0.25">
      <c r="F167" s="45"/>
    </row>
    <row r="168" spans="6:6" x14ac:dyDescent="0.25">
      <c r="F168" s="45"/>
    </row>
    <row r="169" spans="6:6" x14ac:dyDescent="0.25">
      <c r="F169" s="45"/>
    </row>
    <row r="170" spans="6:6" x14ac:dyDescent="0.25">
      <c r="F170" s="45"/>
    </row>
    <row r="171" spans="6:6" x14ac:dyDescent="0.25">
      <c r="F171" s="45"/>
    </row>
    <row r="172" spans="6:6" x14ac:dyDescent="0.25">
      <c r="F172" s="45"/>
    </row>
    <row r="173" spans="6:6" x14ac:dyDescent="0.25">
      <c r="F173" s="45"/>
    </row>
    <row r="174" spans="6:6" x14ac:dyDescent="0.25">
      <c r="F174" s="45"/>
    </row>
    <row r="175" spans="6:6" x14ac:dyDescent="0.25">
      <c r="F175" s="45"/>
    </row>
    <row r="176" spans="6:6" x14ac:dyDescent="0.25">
      <c r="F176" s="45"/>
    </row>
    <row r="177" spans="6:6" x14ac:dyDescent="0.25">
      <c r="F177" s="45"/>
    </row>
    <row r="178" spans="6:6" x14ac:dyDescent="0.25">
      <c r="F178" s="45"/>
    </row>
    <row r="179" spans="6:6" x14ac:dyDescent="0.25">
      <c r="F179" s="45"/>
    </row>
    <row r="180" spans="6:6" x14ac:dyDescent="0.25">
      <c r="F180" s="45"/>
    </row>
    <row r="181" spans="6:6" x14ac:dyDescent="0.25">
      <c r="F181" s="45"/>
    </row>
    <row r="182" spans="6:6" x14ac:dyDescent="0.25">
      <c r="F182" s="45"/>
    </row>
    <row r="183" spans="6:6" x14ac:dyDescent="0.25">
      <c r="F183" s="45"/>
    </row>
    <row r="184" spans="6:6" x14ac:dyDescent="0.25">
      <c r="F184" s="45"/>
    </row>
    <row r="185" spans="6:6" x14ac:dyDescent="0.25">
      <c r="F185" s="45"/>
    </row>
    <row r="186" spans="6:6" x14ac:dyDescent="0.25">
      <c r="F186" s="45"/>
    </row>
    <row r="187" spans="6:6" x14ac:dyDescent="0.25">
      <c r="F187" s="45"/>
    </row>
    <row r="188" spans="6:6" x14ac:dyDescent="0.25">
      <c r="F188" s="45"/>
    </row>
    <row r="189" spans="6:6" x14ac:dyDescent="0.25">
      <c r="F189" s="45"/>
    </row>
    <row r="190" spans="6:6" x14ac:dyDescent="0.25">
      <c r="F190" s="45"/>
    </row>
    <row r="191" spans="6:6" x14ac:dyDescent="0.25">
      <c r="F191" s="45"/>
    </row>
    <row r="192" spans="6:6" x14ac:dyDescent="0.25">
      <c r="F192" s="45"/>
    </row>
    <row r="193" spans="6:6" x14ac:dyDescent="0.25">
      <c r="F193" s="45"/>
    </row>
    <row r="194" spans="6:6" x14ac:dyDescent="0.25">
      <c r="F194" s="45"/>
    </row>
    <row r="195" spans="6:6" x14ac:dyDescent="0.25">
      <c r="F195" s="45"/>
    </row>
    <row r="196" spans="6:6" x14ac:dyDescent="0.25">
      <c r="F196" s="45"/>
    </row>
    <row r="197" spans="6:6" x14ac:dyDescent="0.25">
      <c r="F197" s="45"/>
    </row>
    <row r="198" spans="6:6" x14ac:dyDescent="0.25">
      <c r="F198" s="45"/>
    </row>
    <row r="199" spans="6:6" x14ac:dyDescent="0.25">
      <c r="F199" s="45"/>
    </row>
    <row r="200" spans="6:6" x14ac:dyDescent="0.25">
      <c r="F200" s="45"/>
    </row>
    <row r="201" spans="6:6" x14ac:dyDescent="0.25">
      <c r="F201" s="45"/>
    </row>
    <row r="202" spans="6:6" x14ac:dyDescent="0.25">
      <c r="F202" s="45"/>
    </row>
    <row r="203" spans="6:6" x14ac:dyDescent="0.25">
      <c r="F203" s="45"/>
    </row>
    <row r="204" spans="6:6" x14ac:dyDescent="0.25">
      <c r="F204" s="45"/>
    </row>
    <row r="205" spans="6:6" x14ac:dyDescent="0.25">
      <c r="F205" s="45"/>
    </row>
    <row r="206" spans="6:6" x14ac:dyDescent="0.25">
      <c r="F206" s="45"/>
    </row>
    <row r="207" spans="6:6" x14ac:dyDescent="0.25">
      <c r="F207" s="45"/>
    </row>
    <row r="208" spans="6:6" x14ac:dyDescent="0.25">
      <c r="F208" s="45"/>
    </row>
    <row r="209" spans="6:6" x14ac:dyDescent="0.25">
      <c r="F209" s="45"/>
    </row>
    <row r="210" spans="6:6" x14ac:dyDescent="0.25">
      <c r="F210" s="45"/>
    </row>
    <row r="211" spans="6:6" x14ac:dyDescent="0.25">
      <c r="F211" s="45"/>
    </row>
    <row r="212" spans="6:6" x14ac:dyDescent="0.25">
      <c r="F212" s="45"/>
    </row>
    <row r="213" spans="6:6" x14ac:dyDescent="0.25">
      <c r="F213" s="45"/>
    </row>
    <row r="214" spans="6:6" x14ac:dyDescent="0.25">
      <c r="F214" s="45"/>
    </row>
    <row r="215" spans="6:6" x14ac:dyDescent="0.25">
      <c r="F215" s="45"/>
    </row>
    <row r="216" spans="6:6" x14ac:dyDescent="0.25">
      <c r="F216" s="45"/>
    </row>
    <row r="217" spans="6:6" x14ac:dyDescent="0.25">
      <c r="F217" s="45"/>
    </row>
    <row r="218" spans="6:6" x14ac:dyDescent="0.25">
      <c r="F218" s="45"/>
    </row>
    <row r="219" spans="6:6" x14ac:dyDescent="0.25">
      <c r="F219" s="45"/>
    </row>
    <row r="220" spans="6:6" x14ac:dyDescent="0.25">
      <c r="F220" s="45"/>
    </row>
    <row r="221" spans="6:6" x14ac:dyDescent="0.25">
      <c r="F221" s="45"/>
    </row>
    <row r="222" spans="6:6" x14ac:dyDescent="0.25">
      <c r="F222" s="45"/>
    </row>
    <row r="223" spans="6:6" x14ac:dyDescent="0.25">
      <c r="F223" s="45"/>
    </row>
    <row r="224" spans="6:6" x14ac:dyDescent="0.25">
      <c r="F224" s="45"/>
    </row>
    <row r="225" spans="6:6" x14ac:dyDescent="0.25">
      <c r="F225" s="45"/>
    </row>
    <row r="226" spans="6:6" x14ac:dyDescent="0.25">
      <c r="F226" s="45"/>
    </row>
    <row r="227" spans="6:6" x14ac:dyDescent="0.25">
      <c r="F227" s="45"/>
    </row>
    <row r="228" spans="6:6" x14ac:dyDescent="0.25">
      <c r="F228" s="45"/>
    </row>
    <row r="229" spans="6:6" x14ac:dyDescent="0.25">
      <c r="F229" s="45"/>
    </row>
    <row r="230" spans="6:6" x14ac:dyDescent="0.25">
      <c r="F230" s="45"/>
    </row>
    <row r="231" spans="6:6" x14ac:dyDescent="0.25">
      <c r="F231" s="45"/>
    </row>
    <row r="232" spans="6:6" x14ac:dyDescent="0.25">
      <c r="F232" s="45"/>
    </row>
    <row r="233" spans="6:6" x14ac:dyDescent="0.25">
      <c r="F233" s="45"/>
    </row>
    <row r="234" spans="6:6" x14ac:dyDescent="0.25">
      <c r="F234" s="45"/>
    </row>
    <row r="235" spans="6:6" x14ac:dyDescent="0.25">
      <c r="F235" s="45"/>
    </row>
    <row r="236" spans="6:6" x14ac:dyDescent="0.25">
      <c r="F236" s="45"/>
    </row>
    <row r="237" spans="6:6" x14ac:dyDescent="0.25">
      <c r="F237" s="45"/>
    </row>
    <row r="238" spans="6:6" x14ac:dyDescent="0.25">
      <c r="F238" s="45"/>
    </row>
    <row r="239" spans="6:6" x14ac:dyDescent="0.25">
      <c r="F239" s="45"/>
    </row>
    <row r="240" spans="6:6" x14ac:dyDescent="0.25">
      <c r="F240" s="45"/>
    </row>
    <row r="241" spans="6:6" x14ac:dyDescent="0.25">
      <c r="F241" s="45"/>
    </row>
    <row r="242" spans="6:6" x14ac:dyDescent="0.25">
      <c r="F242" s="45"/>
    </row>
    <row r="243" spans="6:6" x14ac:dyDescent="0.25">
      <c r="F243" s="45"/>
    </row>
    <row r="244" spans="6:6" x14ac:dyDescent="0.25">
      <c r="F244" s="45"/>
    </row>
    <row r="245" spans="6:6" x14ac:dyDescent="0.25">
      <c r="F245" s="45"/>
    </row>
    <row r="246" spans="6:6" x14ac:dyDescent="0.25">
      <c r="F246" s="45"/>
    </row>
    <row r="247" spans="6:6" x14ac:dyDescent="0.25">
      <c r="F247" s="45"/>
    </row>
    <row r="248" spans="6:6" x14ac:dyDescent="0.25">
      <c r="F248" s="45"/>
    </row>
    <row r="249" spans="6:6" x14ac:dyDescent="0.25">
      <c r="F249" s="45"/>
    </row>
    <row r="250" spans="6:6" x14ac:dyDescent="0.25">
      <c r="F250" s="45"/>
    </row>
    <row r="251" spans="6:6" x14ac:dyDescent="0.25">
      <c r="F251" s="45"/>
    </row>
    <row r="252" spans="6:6" x14ac:dyDescent="0.25">
      <c r="F252" s="45"/>
    </row>
    <row r="253" spans="6:6" x14ac:dyDescent="0.25">
      <c r="F253" s="45"/>
    </row>
    <row r="254" spans="6:6" x14ac:dyDescent="0.25">
      <c r="F254" s="45"/>
    </row>
    <row r="255" spans="6:6" x14ac:dyDescent="0.25">
      <c r="F255" s="45"/>
    </row>
    <row r="256" spans="6:6" x14ac:dyDescent="0.25">
      <c r="F256" s="45"/>
    </row>
    <row r="257" spans="6:6" x14ac:dyDescent="0.25">
      <c r="F257" s="45"/>
    </row>
    <row r="258" spans="6:6" x14ac:dyDescent="0.25">
      <c r="F258" s="45"/>
    </row>
    <row r="259" spans="6:6" x14ac:dyDescent="0.25">
      <c r="F259" s="45"/>
    </row>
    <row r="260" spans="6:6" x14ac:dyDescent="0.25">
      <c r="F260" s="45"/>
    </row>
    <row r="261" spans="6:6" x14ac:dyDescent="0.25">
      <c r="F261" s="45"/>
    </row>
    <row r="262" spans="6:6" x14ac:dyDescent="0.25">
      <c r="F262" s="45"/>
    </row>
  </sheetData>
  <mergeCells count="9">
    <mergeCell ref="N49:P49"/>
    <mergeCell ref="B49:I49"/>
    <mergeCell ref="J49:M49"/>
    <mergeCell ref="B1:P1"/>
    <mergeCell ref="N5:P5"/>
    <mergeCell ref="J5:M5"/>
    <mergeCell ref="N16:O16"/>
    <mergeCell ref="J16:M16"/>
    <mergeCell ref="B5:I5"/>
  </mergeCells>
  <dataValidations disablePrompts="1" count="3">
    <dataValidation type="list" allowBlank="1" showInputMessage="1" showErrorMessage="1" error="Select from dropdown" prompt="Select machine category" sqref="C7:C14 C18:C47" xr:uid="{4494338C-BA95-4413-B1D5-925FEE7E9E45}">
      <formula1>MachineCategories</formula1>
    </dataValidation>
    <dataValidation type="list" allowBlank="1" showInputMessage="1" showErrorMessage="1" sqref="D51:D55" xr:uid="{B5CE99C2-C9C1-4DE1-B89F-A76893C52495}">
      <formula1>FuelTypes</formula1>
    </dataValidation>
    <dataValidation type="list" allowBlank="1" showInputMessage="1" showErrorMessage="1" error="Select from dropdown" prompt="Select fuel type" sqref="D7:D14" xr:uid="{05C9DF9B-D5A0-4276-BCC5-61D8FCA91BE2}">
      <formula1>FuelTypes</formula1>
    </dataValidation>
  </dataValidations>
  <pageMargins left="0.7" right="0.7" top="0.75" bottom="0.75" header="0.3" footer="0.3"/>
  <pageSetup orientation="portrait" r:id="rId1"/>
  <ignoredErrors>
    <ignoredError sqref="J51:J55 L51:L55 N51:O55 I7:P14 I47:O47 I18:O45 I46:O46" unlockedFormula="1"/>
  </ignoredErrors>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topLeftCell="A39" workbookViewId="0">
      <selection activeCell="J64" sqref="J64"/>
    </sheetView>
  </sheetViews>
  <sheetFormatPr defaultRowHeight="15" x14ac:dyDescent="0.25"/>
  <cols>
    <col min="1" max="1" width="4.7109375" customWidth="1"/>
    <col min="2" max="2" width="30.5703125" customWidth="1"/>
  </cols>
  <sheetData>
    <row r="1" spans="2:10" ht="18.75" x14ac:dyDescent="0.3">
      <c r="B1" s="348" t="s">
        <v>179</v>
      </c>
      <c r="C1" s="348"/>
      <c r="D1" s="348"/>
      <c r="E1" s="348"/>
      <c r="F1" s="348"/>
      <c r="G1" s="348"/>
    </row>
    <row r="3" spans="2:10" x14ac:dyDescent="0.25">
      <c r="B3" s="2" t="s">
        <v>180</v>
      </c>
      <c r="F3" s="2"/>
    </row>
    <row r="4" spans="2:10" x14ac:dyDescent="0.25">
      <c r="B4" s="346" t="s">
        <v>181</v>
      </c>
      <c r="C4" s="346"/>
      <c r="D4" s="346"/>
      <c r="E4" s="346"/>
      <c r="F4" s="346"/>
      <c r="G4" s="346"/>
    </row>
    <row r="5" spans="2:10" x14ac:dyDescent="0.25">
      <c r="B5" s="346"/>
      <c r="C5" s="346"/>
      <c r="D5" s="346"/>
      <c r="E5" s="346"/>
      <c r="F5" s="346"/>
      <c r="G5" s="346"/>
    </row>
    <row r="6" spans="2:10" x14ac:dyDescent="0.25">
      <c r="B6" s="56" t="s">
        <v>118</v>
      </c>
      <c r="C6" s="48" t="s">
        <v>182</v>
      </c>
      <c r="D6" s="48" t="s">
        <v>183</v>
      </c>
      <c r="E6" s="48" t="s">
        <v>184</v>
      </c>
      <c r="F6" s="48" t="s">
        <v>185</v>
      </c>
      <c r="G6" s="48" t="s">
        <v>186</v>
      </c>
      <c r="J6" s="53"/>
    </row>
    <row r="7" spans="2:10" x14ac:dyDescent="0.25">
      <c r="B7" s="1" t="s">
        <v>187</v>
      </c>
      <c r="C7" s="54">
        <v>1.1319999999999999</v>
      </c>
      <c r="D7" s="54">
        <v>0.16500000000000001</v>
      </c>
      <c r="E7" s="54">
        <v>7.9000000000000008E-3</v>
      </c>
      <c r="F7" s="54">
        <v>0.12</v>
      </c>
      <c r="G7" s="55">
        <v>2.2999999999999998</v>
      </c>
    </row>
    <row r="8" spans="2:10" x14ac:dyDescent="0.25">
      <c r="B8" s="1" t="s">
        <v>131</v>
      </c>
      <c r="C8" s="54">
        <v>1.1319999999999999</v>
      </c>
      <c r="D8" s="54">
        <v>0.16500000000000001</v>
      </c>
      <c r="E8" s="54">
        <v>7.9000000000000008E-3</v>
      </c>
      <c r="F8" s="54">
        <v>0.04</v>
      </c>
      <c r="G8" s="55">
        <v>2.1</v>
      </c>
    </row>
    <row r="9" spans="2:10" x14ac:dyDescent="0.25">
      <c r="B9" s="1" t="s">
        <v>188</v>
      </c>
      <c r="C9" s="54">
        <v>1.1319999999999999</v>
      </c>
      <c r="D9" s="54">
        <v>0.16500000000000001</v>
      </c>
      <c r="E9" s="54">
        <v>7.9000000000000008E-3</v>
      </c>
      <c r="F9" s="54">
        <v>0.11</v>
      </c>
      <c r="G9" s="55">
        <v>1.8</v>
      </c>
    </row>
    <row r="10" spans="2:10" x14ac:dyDescent="0.25">
      <c r="B10" s="1" t="s">
        <v>145</v>
      </c>
      <c r="C10" s="54">
        <v>0.89100000000000001</v>
      </c>
      <c r="D10" s="54">
        <v>0.11</v>
      </c>
      <c r="E10" s="54">
        <v>0</v>
      </c>
      <c r="F10" s="54">
        <v>0.18</v>
      </c>
      <c r="G10" s="55">
        <v>1.7</v>
      </c>
    </row>
    <row r="11" spans="2:10" x14ac:dyDescent="0.25">
      <c r="B11" s="1" t="s">
        <v>150</v>
      </c>
      <c r="C11" s="54">
        <v>0.89100000000000001</v>
      </c>
      <c r="D11" s="54">
        <v>0.11</v>
      </c>
      <c r="E11" s="54">
        <v>0</v>
      </c>
      <c r="F11" s="54">
        <v>0.27</v>
      </c>
      <c r="G11" s="55">
        <v>1.4</v>
      </c>
    </row>
    <row r="12" spans="2:10" x14ac:dyDescent="0.25">
      <c r="B12" s="1" t="s">
        <v>189</v>
      </c>
      <c r="C12" s="54">
        <v>0.79100000000000004</v>
      </c>
      <c r="D12" s="54">
        <v>9.0999999999999998E-2</v>
      </c>
      <c r="E12" s="54">
        <v>0</v>
      </c>
      <c r="F12" s="54">
        <v>0.15</v>
      </c>
      <c r="G12" s="55">
        <v>1.6</v>
      </c>
    </row>
    <row r="13" spans="2:10" x14ac:dyDescent="0.25">
      <c r="B13" s="1" t="s">
        <v>190</v>
      </c>
      <c r="C13" s="54">
        <v>0.79100000000000004</v>
      </c>
      <c r="D13" s="54">
        <v>9.0999999999999998E-2</v>
      </c>
      <c r="E13" s="54">
        <v>0</v>
      </c>
      <c r="F13" s="54">
        <v>0.03</v>
      </c>
      <c r="G13" s="55">
        <v>2</v>
      </c>
    </row>
    <row r="14" spans="2:10" x14ac:dyDescent="0.25">
      <c r="B14" s="1" t="s">
        <v>191</v>
      </c>
      <c r="C14" s="54">
        <v>0.78600000000000003</v>
      </c>
      <c r="D14" s="54">
        <v>6.3E-2</v>
      </c>
      <c r="E14" s="54">
        <v>3.3E-3</v>
      </c>
      <c r="F14" s="54">
        <v>0.16</v>
      </c>
      <c r="G14" s="55">
        <v>1.6</v>
      </c>
    </row>
    <row r="15" spans="2:10" x14ac:dyDescent="0.25">
      <c r="B15" s="1" t="s">
        <v>156</v>
      </c>
      <c r="C15" s="54">
        <v>0.88300000000000001</v>
      </c>
      <c r="D15" s="54">
        <v>7.8E-2</v>
      </c>
      <c r="E15" s="54">
        <v>0</v>
      </c>
      <c r="F15" s="54">
        <v>0.32</v>
      </c>
      <c r="G15" s="55">
        <v>2.1</v>
      </c>
    </row>
    <row r="16" spans="2:10" x14ac:dyDescent="0.25">
      <c r="B16" s="1" t="s">
        <v>192</v>
      </c>
      <c r="C16" s="54">
        <v>0.85199999999999998</v>
      </c>
      <c r="D16" s="54">
        <v>0.10100000000000001</v>
      </c>
      <c r="E16" s="54">
        <v>0</v>
      </c>
      <c r="F16" s="54">
        <v>0.43</v>
      </c>
      <c r="G16" s="55">
        <v>1.8</v>
      </c>
    </row>
    <row r="17" spans="2:7" x14ac:dyDescent="0.25">
      <c r="B17" s="1" t="s">
        <v>193</v>
      </c>
      <c r="C17" s="54">
        <v>0.85199999999999998</v>
      </c>
      <c r="D17" s="54">
        <v>0.10100000000000001</v>
      </c>
      <c r="E17" s="54">
        <v>0</v>
      </c>
      <c r="F17" s="54">
        <v>0.23</v>
      </c>
      <c r="G17" s="55">
        <v>1.8</v>
      </c>
    </row>
    <row r="18" spans="2:7" x14ac:dyDescent="0.25">
      <c r="B18" s="1" t="s">
        <v>194</v>
      </c>
      <c r="C18" s="54">
        <v>0.79100000000000004</v>
      </c>
      <c r="D18" s="54">
        <v>9.0999999999999998E-2</v>
      </c>
      <c r="E18" s="54">
        <v>0</v>
      </c>
      <c r="F18" s="54">
        <v>0.17</v>
      </c>
      <c r="G18" s="55">
        <v>1.4</v>
      </c>
    </row>
    <row r="19" spans="2:7" x14ac:dyDescent="0.25">
      <c r="B19" s="1" t="s">
        <v>195</v>
      </c>
      <c r="C19" s="54">
        <v>0.75600000000000001</v>
      </c>
      <c r="D19" s="54">
        <v>6.7000000000000004E-2</v>
      </c>
      <c r="E19" s="54">
        <v>0</v>
      </c>
      <c r="F19" s="54">
        <v>0.46</v>
      </c>
      <c r="G19" s="55">
        <v>1.7</v>
      </c>
    </row>
    <row r="20" spans="2:7" x14ac:dyDescent="0.25">
      <c r="B20" s="1" t="s">
        <v>196</v>
      </c>
      <c r="C20" s="54">
        <v>0.75600000000000001</v>
      </c>
      <c r="D20" s="54">
        <v>6.7000000000000004E-2</v>
      </c>
      <c r="E20" s="54">
        <v>0</v>
      </c>
      <c r="F20" s="54">
        <v>0.44</v>
      </c>
      <c r="G20" s="55">
        <v>2</v>
      </c>
    </row>
    <row r="21" spans="2:7" x14ac:dyDescent="0.25">
      <c r="B21" s="1" t="s">
        <v>197</v>
      </c>
      <c r="C21" s="54">
        <v>0.75600000000000001</v>
      </c>
      <c r="D21" s="54">
        <v>6.7000000000000004E-2</v>
      </c>
      <c r="E21" s="54">
        <v>0</v>
      </c>
      <c r="F21" s="54">
        <v>0.18</v>
      </c>
      <c r="G21" s="55">
        <v>1.6</v>
      </c>
    </row>
    <row r="22" spans="2:7" x14ac:dyDescent="0.25">
      <c r="B22" s="1" t="s">
        <v>198</v>
      </c>
      <c r="C22" s="54">
        <v>0.75600000000000001</v>
      </c>
      <c r="D22" s="54">
        <v>6.7000000000000004E-2</v>
      </c>
      <c r="E22" s="54">
        <v>0</v>
      </c>
      <c r="F22" s="54">
        <v>0.16</v>
      </c>
      <c r="G22" s="55">
        <v>2</v>
      </c>
    </row>
    <row r="23" spans="2:7" x14ac:dyDescent="0.25">
      <c r="B23" s="1" t="s">
        <v>142</v>
      </c>
      <c r="C23" s="54">
        <v>0.79100000000000004</v>
      </c>
      <c r="D23" s="54">
        <v>9.0999999999999998E-2</v>
      </c>
      <c r="E23" s="54">
        <v>0</v>
      </c>
      <c r="F23" s="54">
        <v>0.14000000000000001</v>
      </c>
      <c r="G23" s="55">
        <v>2.2999999999999998</v>
      </c>
    </row>
    <row r="24" spans="2:7" x14ac:dyDescent="0.25">
      <c r="B24" s="1" t="s">
        <v>158</v>
      </c>
      <c r="C24" s="54">
        <v>0.88300000000000001</v>
      </c>
      <c r="D24" s="54">
        <v>7.8E-2</v>
      </c>
      <c r="E24" s="54">
        <v>0</v>
      </c>
      <c r="F24" s="54">
        <v>0.32</v>
      </c>
      <c r="G24" s="55">
        <v>2.1</v>
      </c>
    </row>
    <row r="25" spans="2:7" x14ac:dyDescent="0.25">
      <c r="B25" s="1" t="s">
        <v>160</v>
      </c>
      <c r="C25" s="54">
        <v>0.73799999999999999</v>
      </c>
      <c r="D25" s="54">
        <v>5.0999999999999997E-2</v>
      </c>
      <c r="E25" s="54">
        <v>0</v>
      </c>
      <c r="F25" s="54">
        <v>0.28000000000000003</v>
      </c>
      <c r="G25" s="55">
        <v>1.4</v>
      </c>
    </row>
    <row r="26" spans="2:7" x14ac:dyDescent="0.25">
      <c r="B26" s="1" t="s">
        <v>159</v>
      </c>
      <c r="C26" s="54">
        <v>0.73799999999999999</v>
      </c>
      <c r="D26" s="54">
        <v>5.0999999999999997E-2</v>
      </c>
      <c r="E26" s="54">
        <v>0</v>
      </c>
      <c r="F26" s="54">
        <v>0.28999999999999998</v>
      </c>
      <c r="G26" s="55">
        <v>1.8</v>
      </c>
    </row>
    <row r="27" spans="2:7" x14ac:dyDescent="0.25">
      <c r="B27" s="1" t="s">
        <v>143</v>
      </c>
      <c r="C27" s="54">
        <v>0.94299999999999995</v>
      </c>
      <c r="D27" s="54">
        <v>0.111</v>
      </c>
      <c r="E27" s="54">
        <v>0</v>
      </c>
      <c r="F27" s="54">
        <v>0.16</v>
      </c>
      <c r="G27" s="55">
        <v>1.3</v>
      </c>
    </row>
    <row r="28" spans="2:7" x14ac:dyDescent="0.25">
      <c r="B28" s="1" t="s">
        <v>161</v>
      </c>
      <c r="C28" s="54">
        <v>0.89100000000000001</v>
      </c>
      <c r="D28" s="54">
        <v>0.11</v>
      </c>
      <c r="E28" s="54">
        <v>0</v>
      </c>
      <c r="F28" s="54">
        <v>0.17</v>
      </c>
      <c r="G28" s="55">
        <v>2.2000000000000002</v>
      </c>
    </row>
    <row r="29" spans="2:7" x14ac:dyDescent="0.25">
      <c r="B29" s="1" t="s">
        <v>132</v>
      </c>
      <c r="C29" s="54">
        <v>0.94299999999999995</v>
      </c>
      <c r="D29" s="54">
        <v>0.111</v>
      </c>
      <c r="E29" s="54">
        <v>0</v>
      </c>
      <c r="F29" s="54">
        <v>0.41</v>
      </c>
      <c r="G29" s="55">
        <v>1.3</v>
      </c>
    </row>
    <row r="30" spans="2:7" x14ac:dyDescent="0.25">
      <c r="B30" s="1" t="s">
        <v>146</v>
      </c>
      <c r="C30" s="54">
        <v>0.94299999999999995</v>
      </c>
      <c r="D30" s="54">
        <v>0.111</v>
      </c>
      <c r="E30" s="54">
        <v>0</v>
      </c>
      <c r="F30" s="54">
        <v>0.63</v>
      </c>
      <c r="G30" s="55">
        <v>1.3</v>
      </c>
    </row>
    <row r="31" spans="2:7" x14ac:dyDescent="0.25">
      <c r="B31" s="1" t="s">
        <v>199</v>
      </c>
      <c r="C31" s="54">
        <v>0.94299999999999995</v>
      </c>
      <c r="D31" s="54">
        <v>0.111</v>
      </c>
      <c r="E31" s="54">
        <v>0</v>
      </c>
      <c r="F31" s="54">
        <v>0.28000000000000003</v>
      </c>
      <c r="G31" s="55">
        <v>1.4</v>
      </c>
    </row>
    <row r="32" spans="2:7" x14ac:dyDescent="0.25">
      <c r="B32" s="1" t="s">
        <v>200</v>
      </c>
      <c r="C32" s="54">
        <v>0.94199999999999995</v>
      </c>
      <c r="D32" s="54">
        <v>0.1</v>
      </c>
      <c r="E32" s="54">
        <v>8.0000000000000004E-4</v>
      </c>
      <c r="F32" s="54">
        <v>3.0000000000000001E-3</v>
      </c>
      <c r="G32" s="55">
        <v>2</v>
      </c>
    </row>
    <row r="33" spans="2:9" x14ac:dyDescent="0.25">
      <c r="B33" s="1" t="s">
        <v>134</v>
      </c>
      <c r="C33" s="54">
        <v>0.97599999999999998</v>
      </c>
      <c r="D33" s="54">
        <v>0.11899999999999999</v>
      </c>
      <c r="E33" s="54">
        <v>1.9E-3</v>
      </c>
      <c r="F33" s="54">
        <v>3.0000000000000001E-3</v>
      </c>
      <c r="G33" s="55">
        <v>2</v>
      </c>
    </row>
    <row r="34" spans="2:9" x14ac:dyDescent="0.25">
      <c r="B34" s="1" t="s">
        <v>153</v>
      </c>
      <c r="C34" s="54">
        <v>0.78600000000000003</v>
      </c>
      <c r="D34" s="54">
        <v>6.3E-2</v>
      </c>
      <c r="E34" s="54">
        <v>3.3E-3</v>
      </c>
      <c r="F34" s="54">
        <v>0.19</v>
      </c>
      <c r="G34" s="55">
        <v>1.3</v>
      </c>
    </row>
    <row r="35" spans="2:9" x14ac:dyDescent="0.25">
      <c r="B35" s="1" t="s">
        <v>201</v>
      </c>
      <c r="C35" s="54">
        <v>0.79100000000000004</v>
      </c>
      <c r="D35" s="54">
        <v>9.0999999999999998E-2</v>
      </c>
      <c r="E35" s="54">
        <v>0</v>
      </c>
      <c r="F35" s="54">
        <v>0.06</v>
      </c>
      <c r="G35" s="55">
        <v>2</v>
      </c>
    </row>
    <row r="37" spans="2:9" x14ac:dyDescent="0.25">
      <c r="B37" s="2" t="s">
        <v>202</v>
      </c>
    </row>
    <row r="38" spans="2:9" x14ac:dyDescent="0.25">
      <c r="B38" s="346" t="s">
        <v>203</v>
      </c>
      <c r="C38" s="346"/>
      <c r="D38" s="346"/>
      <c r="E38" s="346"/>
      <c r="F38" s="346"/>
      <c r="G38" s="346"/>
      <c r="H38" s="346"/>
      <c r="I38" s="346"/>
    </row>
    <row r="39" spans="2:9" x14ac:dyDescent="0.25">
      <c r="B39" s="346"/>
      <c r="C39" s="346"/>
      <c r="D39" s="346"/>
      <c r="E39" s="346"/>
      <c r="F39" s="346"/>
      <c r="G39" s="346"/>
      <c r="H39" s="346"/>
      <c r="I39" s="346"/>
    </row>
    <row r="40" spans="2:9" x14ac:dyDescent="0.25">
      <c r="B40" s="347" t="s">
        <v>204</v>
      </c>
      <c r="C40" s="347"/>
      <c r="D40" s="347"/>
      <c r="E40" s="347"/>
      <c r="F40" s="347"/>
      <c r="G40" s="347"/>
      <c r="H40" s="347"/>
      <c r="I40" s="347"/>
    </row>
    <row r="41" spans="2:9" x14ac:dyDescent="0.25">
      <c r="B41" s="2"/>
      <c r="C41" s="345" t="s">
        <v>205</v>
      </c>
      <c r="D41" s="345"/>
      <c r="E41" s="345"/>
      <c r="F41" s="345"/>
      <c r="G41" s="345"/>
      <c r="H41" s="345"/>
      <c r="I41" s="345"/>
    </row>
    <row r="42" spans="2:9" x14ac:dyDescent="0.25">
      <c r="B42" s="50" t="s">
        <v>206</v>
      </c>
      <c r="C42" s="13">
        <v>10</v>
      </c>
      <c r="D42" s="14">
        <v>20</v>
      </c>
      <c r="E42" s="14">
        <v>30</v>
      </c>
      <c r="F42" s="14">
        <v>40</v>
      </c>
      <c r="G42" s="14">
        <v>50</v>
      </c>
      <c r="H42" s="14">
        <v>60</v>
      </c>
      <c r="I42" s="14">
        <v>80</v>
      </c>
    </row>
    <row r="43" spans="2:9" x14ac:dyDescent="0.25">
      <c r="B43" s="2">
        <v>0</v>
      </c>
      <c r="C43" s="4">
        <v>0.26250000000000001</v>
      </c>
      <c r="D43" s="3">
        <v>0.52500000000000002</v>
      </c>
      <c r="E43" s="3">
        <v>0.78749999999999998</v>
      </c>
      <c r="F43" s="3">
        <v>1.05</v>
      </c>
      <c r="G43" s="3">
        <v>1.3125</v>
      </c>
      <c r="H43" s="3">
        <v>1.575</v>
      </c>
      <c r="I43" s="3">
        <v>2.1124999999999998</v>
      </c>
    </row>
    <row r="44" spans="2:9" x14ac:dyDescent="0.25">
      <c r="B44" s="2">
        <v>50</v>
      </c>
      <c r="C44" s="4">
        <v>0.83750000000000002</v>
      </c>
      <c r="D44" s="3">
        <v>1.1000000000000001</v>
      </c>
      <c r="E44" s="3">
        <v>1.3625</v>
      </c>
      <c r="F44" s="3">
        <v>1.625</v>
      </c>
      <c r="G44" s="3">
        <v>1.8875</v>
      </c>
      <c r="H44" s="3">
        <v>2.15</v>
      </c>
      <c r="I44" s="3">
        <v>2.6750000000000003</v>
      </c>
    </row>
    <row r="45" spans="2:9" x14ac:dyDescent="0.25">
      <c r="B45" s="2">
        <v>100</v>
      </c>
      <c r="C45" s="4">
        <v>1.4000000000000001</v>
      </c>
      <c r="D45" s="3">
        <v>1.6625000000000001</v>
      </c>
      <c r="E45" s="3">
        <v>1.925</v>
      </c>
      <c r="F45" s="3">
        <v>2.1875</v>
      </c>
      <c r="G45" s="3">
        <v>2.4624999999999999</v>
      </c>
      <c r="H45" s="3">
        <v>2.7250000000000001</v>
      </c>
      <c r="I45" s="3">
        <v>3.25</v>
      </c>
    </row>
    <row r="46" spans="2:9" x14ac:dyDescent="0.25">
      <c r="B46" s="2">
        <v>150</v>
      </c>
      <c r="C46" s="4">
        <v>1.9750000000000001</v>
      </c>
      <c r="D46" s="3">
        <v>2.2374999999999998</v>
      </c>
      <c r="E46" s="3">
        <v>2.5</v>
      </c>
      <c r="F46" s="3">
        <v>2.7625000000000002</v>
      </c>
      <c r="G46" s="3">
        <v>3.0249999999999999</v>
      </c>
      <c r="H46" s="3">
        <v>3.2874999999999996</v>
      </c>
      <c r="I46" s="3">
        <v>3.8125</v>
      </c>
    </row>
    <row r="47" spans="2:9" x14ac:dyDescent="0.25">
      <c r="B47" s="2">
        <v>200</v>
      </c>
      <c r="C47" s="4">
        <v>2.5374999999999996</v>
      </c>
      <c r="D47" s="3">
        <v>2.8125</v>
      </c>
      <c r="E47" s="3">
        <v>3.0750000000000002</v>
      </c>
      <c r="F47" s="3">
        <v>3.3374999999999999</v>
      </c>
      <c r="G47" s="3">
        <v>3.5999999999999996</v>
      </c>
      <c r="H47" s="3">
        <v>3.8624999999999998</v>
      </c>
      <c r="I47" s="3">
        <v>4.3874999999999993</v>
      </c>
    </row>
    <row r="48" spans="2:9" x14ac:dyDescent="0.25">
      <c r="B48" s="2">
        <v>250</v>
      </c>
      <c r="C48" s="4">
        <v>3.1125000000000003</v>
      </c>
      <c r="D48" s="3">
        <v>3.375</v>
      </c>
      <c r="E48" s="3">
        <v>3.6375000000000002</v>
      </c>
      <c r="F48" s="3">
        <v>3.9000000000000004</v>
      </c>
      <c r="G48" s="3">
        <v>4.1624999999999996</v>
      </c>
      <c r="H48" s="3">
        <v>4.4249999999999998</v>
      </c>
      <c r="I48" s="3">
        <v>4.9625000000000004</v>
      </c>
    </row>
    <row r="49" spans="2:9" x14ac:dyDescent="0.25">
      <c r="B49" s="2">
        <v>300</v>
      </c>
      <c r="C49" s="4">
        <v>4.9375</v>
      </c>
      <c r="D49" s="3">
        <v>3.95</v>
      </c>
      <c r="E49" s="3">
        <v>4.2125000000000004</v>
      </c>
      <c r="F49" s="3">
        <v>4.4749999999999996</v>
      </c>
      <c r="G49" s="3">
        <v>4.7374999999999998</v>
      </c>
      <c r="H49" s="3">
        <v>5</v>
      </c>
      <c r="I49" s="3">
        <v>5.5250000000000004</v>
      </c>
    </row>
    <row r="50" spans="2:9" x14ac:dyDescent="0.25">
      <c r="B50" s="2">
        <v>350</v>
      </c>
      <c r="C50" s="4">
        <v>4.25</v>
      </c>
      <c r="D50" s="3">
        <v>4.5125000000000002</v>
      </c>
      <c r="E50" s="3">
        <v>4.7749999999999995</v>
      </c>
      <c r="F50" s="3">
        <v>5.0375000000000005</v>
      </c>
      <c r="G50" s="3">
        <v>5.3125</v>
      </c>
      <c r="H50" s="3">
        <v>5.5750000000000002</v>
      </c>
      <c r="I50" s="3">
        <v>6.1</v>
      </c>
    </row>
    <row r="51" spans="2:9" x14ac:dyDescent="0.25">
      <c r="B51" s="2">
        <v>400</v>
      </c>
      <c r="C51" s="4">
        <v>4.8250000000000002</v>
      </c>
      <c r="D51" s="3">
        <v>5.0875000000000004</v>
      </c>
      <c r="E51" s="3">
        <v>5.35</v>
      </c>
      <c r="F51" s="3">
        <v>5.6124999999999998</v>
      </c>
      <c r="G51" s="3">
        <v>5.875</v>
      </c>
      <c r="H51" s="3">
        <v>6.1375000000000002</v>
      </c>
      <c r="I51" s="3">
        <v>6.6624999999999996</v>
      </c>
    </row>
    <row r="53" spans="2:9" x14ac:dyDescent="0.25">
      <c r="B53" s="10" t="s">
        <v>207</v>
      </c>
      <c r="C53" s="10"/>
      <c r="D53" s="10"/>
      <c r="E53" s="10"/>
      <c r="F53" s="10"/>
      <c r="G53" s="10"/>
      <c r="H53" s="20"/>
      <c r="I53" s="20"/>
    </row>
    <row r="54" spans="2:9" x14ac:dyDescent="0.25">
      <c r="B54" s="2"/>
      <c r="C54" s="345" t="s">
        <v>205</v>
      </c>
      <c r="D54" s="345"/>
      <c r="E54" s="345"/>
      <c r="F54" s="345"/>
      <c r="G54" s="345"/>
      <c r="H54" s="345"/>
      <c r="I54" s="345"/>
    </row>
    <row r="55" spans="2:9" x14ac:dyDescent="0.25">
      <c r="B55" s="50" t="s">
        <v>206</v>
      </c>
      <c r="C55" s="5">
        <v>10</v>
      </c>
      <c r="D55" s="5">
        <v>20</v>
      </c>
      <c r="E55" s="5">
        <v>30</v>
      </c>
      <c r="F55" s="5">
        <v>40</v>
      </c>
      <c r="G55" s="5">
        <v>50</v>
      </c>
      <c r="H55" s="5">
        <v>60</v>
      </c>
      <c r="I55" s="5">
        <v>80</v>
      </c>
    </row>
    <row r="56" spans="2:9" x14ac:dyDescent="0.25">
      <c r="B56" s="51">
        <v>0</v>
      </c>
      <c r="C56" s="3">
        <f>C43*14.12</f>
        <v>3.7065000000000001</v>
      </c>
      <c r="D56" s="3">
        <f t="shared" ref="D56:G56" si="0">D43*14.12</f>
        <v>7.4130000000000003</v>
      </c>
      <c r="E56" s="3">
        <f t="shared" si="0"/>
        <v>11.119499999999999</v>
      </c>
      <c r="F56" s="3">
        <f t="shared" si="0"/>
        <v>14.826000000000001</v>
      </c>
      <c r="G56" s="3">
        <f t="shared" si="0"/>
        <v>18.532499999999999</v>
      </c>
      <c r="H56" s="3">
        <f t="shared" ref="H56:I64" si="1">H43*14.12</f>
        <v>22.238999999999997</v>
      </c>
      <c r="I56" s="3">
        <f t="shared" si="1"/>
        <v>29.828499999999995</v>
      </c>
    </row>
    <row r="57" spans="2:9" x14ac:dyDescent="0.25">
      <c r="B57" s="51">
        <v>50</v>
      </c>
      <c r="C57" s="3">
        <f t="shared" ref="C57:G57" si="2">C44*14.12</f>
        <v>11.8255</v>
      </c>
      <c r="D57" s="3">
        <f t="shared" si="2"/>
        <v>15.532</v>
      </c>
      <c r="E57" s="3">
        <f t="shared" si="2"/>
        <v>19.238499999999998</v>
      </c>
      <c r="F57" s="3">
        <f t="shared" si="2"/>
        <v>22.945</v>
      </c>
      <c r="G57" s="3">
        <f t="shared" si="2"/>
        <v>26.651499999999999</v>
      </c>
      <c r="H57" s="3">
        <f t="shared" si="1"/>
        <v>30.357999999999997</v>
      </c>
      <c r="I57" s="3">
        <f t="shared" si="1"/>
        <v>37.771000000000001</v>
      </c>
    </row>
    <row r="58" spans="2:9" x14ac:dyDescent="0.25">
      <c r="B58" s="51">
        <v>100</v>
      </c>
      <c r="C58" s="3">
        <f t="shared" ref="C58:G58" si="3">C45*14.12</f>
        <v>19.768000000000001</v>
      </c>
      <c r="D58" s="3">
        <f t="shared" si="3"/>
        <v>23.474499999999999</v>
      </c>
      <c r="E58" s="3">
        <f t="shared" si="3"/>
        <v>27.180999999999997</v>
      </c>
      <c r="F58" s="3">
        <f t="shared" si="3"/>
        <v>30.887499999999999</v>
      </c>
      <c r="G58" s="3">
        <f t="shared" si="3"/>
        <v>34.770499999999998</v>
      </c>
      <c r="H58" s="3">
        <f t="shared" si="1"/>
        <v>38.476999999999997</v>
      </c>
      <c r="I58" s="3">
        <f t="shared" si="1"/>
        <v>45.89</v>
      </c>
    </row>
    <row r="59" spans="2:9" x14ac:dyDescent="0.25">
      <c r="B59" s="51">
        <v>150</v>
      </c>
      <c r="C59" s="3">
        <f t="shared" ref="C59:G59" si="4">C46*14.12</f>
        <v>27.887</v>
      </c>
      <c r="D59" s="3">
        <f t="shared" si="4"/>
        <v>31.593499999999995</v>
      </c>
      <c r="E59" s="3">
        <f t="shared" si="4"/>
        <v>35.299999999999997</v>
      </c>
      <c r="F59" s="3">
        <f t="shared" si="4"/>
        <v>39.006500000000003</v>
      </c>
      <c r="G59" s="3">
        <f t="shared" si="4"/>
        <v>42.712999999999994</v>
      </c>
      <c r="H59" s="3">
        <f t="shared" si="1"/>
        <v>46.419499999999992</v>
      </c>
      <c r="I59" s="3">
        <f t="shared" si="1"/>
        <v>53.832499999999996</v>
      </c>
    </row>
    <row r="60" spans="2:9" x14ac:dyDescent="0.25">
      <c r="B60" s="51">
        <v>200</v>
      </c>
      <c r="C60" s="3">
        <f t="shared" ref="C60:G60" si="5">C47*14.12</f>
        <v>35.829499999999996</v>
      </c>
      <c r="D60" s="3">
        <f t="shared" si="5"/>
        <v>39.712499999999999</v>
      </c>
      <c r="E60" s="3">
        <f t="shared" si="5"/>
        <v>43.418999999999997</v>
      </c>
      <c r="F60" s="3">
        <f t="shared" si="5"/>
        <v>47.125499999999995</v>
      </c>
      <c r="G60" s="3">
        <f t="shared" si="5"/>
        <v>50.831999999999994</v>
      </c>
      <c r="H60" s="3">
        <f t="shared" si="1"/>
        <v>54.538499999999992</v>
      </c>
      <c r="I60" s="3">
        <f t="shared" si="1"/>
        <v>61.951499999999989</v>
      </c>
    </row>
    <row r="61" spans="2:9" x14ac:dyDescent="0.25">
      <c r="B61" s="51">
        <v>250</v>
      </c>
      <c r="C61" s="3">
        <f t="shared" ref="C61:G61" si="6">C48*14.12</f>
        <v>43.948500000000003</v>
      </c>
      <c r="D61" s="3">
        <f t="shared" si="6"/>
        <v>47.654999999999994</v>
      </c>
      <c r="E61" s="3">
        <f t="shared" si="6"/>
        <v>51.361499999999999</v>
      </c>
      <c r="F61" s="3">
        <f t="shared" si="6"/>
        <v>55.068000000000005</v>
      </c>
      <c r="G61" s="3">
        <f t="shared" si="6"/>
        <v>58.774499999999989</v>
      </c>
      <c r="H61" s="3">
        <f t="shared" si="1"/>
        <v>62.480999999999995</v>
      </c>
      <c r="I61" s="3">
        <f t="shared" si="1"/>
        <v>70.070499999999996</v>
      </c>
    </row>
    <row r="62" spans="2:9" x14ac:dyDescent="0.25">
      <c r="B62" s="51">
        <v>300</v>
      </c>
      <c r="C62" s="3">
        <f t="shared" ref="C62:G62" si="7">C49*14.12</f>
        <v>69.717500000000001</v>
      </c>
      <c r="D62" s="3">
        <f t="shared" si="7"/>
        <v>55.774000000000001</v>
      </c>
      <c r="E62" s="3">
        <f t="shared" si="7"/>
        <v>59.480499999999999</v>
      </c>
      <c r="F62" s="3">
        <f t="shared" si="7"/>
        <v>63.186999999999991</v>
      </c>
      <c r="G62" s="3">
        <f t="shared" si="7"/>
        <v>66.893499999999989</v>
      </c>
      <c r="H62" s="3">
        <f t="shared" si="1"/>
        <v>70.599999999999994</v>
      </c>
      <c r="I62" s="3">
        <f t="shared" si="1"/>
        <v>78.013000000000005</v>
      </c>
    </row>
    <row r="63" spans="2:9" x14ac:dyDescent="0.25">
      <c r="B63" s="51">
        <v>350</v>
      </c>
      <c r="C63" s="3">
        <f t="shared" ref="C63:G63" si="8">C50*14.12</f>
        <v>60.01</v>
      </c>
      <c r="D63" s="3">
        <f t="shared" si="8"/>
        <v>63.716499999999996</v>
      </c>
      <c r="E63" s="3">
        <f t="shared" si="8"/>
        <v>67.422999999999988</v>
      </c>
      <c r="F63" s="3">
        <f t="shared" si="8"/>
        <v>71.129500000000007</v>
      </c>
      <c r="G63" s="3">
        <f t="shared" si="8"/>
        <v>75.012500000000003</v>
      </c>
      <c r="H63" s="3">
        <f t="shared" si="1"/>
        <v>78.718999999999994</v>
      </c>
      <c r="I63" s="3">
        <f t="shared" si="1"/>
        <v>86.131999999999991</v>
      </c>
    </row>
    <row r="64" spans="2:9" x14ac:dyDescent="0.25">
      <c r="B64" s="51">
        <v>400</v>
      </c>
      <c r="C64" s="3">
        <f t="shared" ref="C64:G64" si="9">C51*14.12</f>
        <v>68.129000000000005</v>
      </c>
      <c r="D64" s="3">
        <f t="shared" si="9"/>
        <v>71.835499999999996</v>
      </c>
      <c r="E64" s="3">
        <f t="shared" si="9"/>
        <v>75.541999999999987</v>
      </c>
      <c r="F64" s="3">
        <f t="shared" si="9"/>
        <v>79.248499999999993</v>
      </c>
      <c r="G64" s="3">
        <f t="shared" si="9"/>
        <v>82.954999999999998</v>
      </c>
      <c r="H64" s="3">
        <f t="shared" si="1"/>
        <v>86.661500000000004</v>
      </c>
      <c r="I64" s="3">
        <f t="shared" si="1"/>
        <v>94.074499999999986</v>
      </c>
    </row>
  </sheetData>
  <sheetProtection algorithmName="SHA-512" hashValue="8Xgns6V2gHuaP8sd8aVrg5G9Zy6MzHw8UqHNFKqcN1UM/tc8JJt0mCib/TVcW122QfMiDa5Qj+uqccP++cxa3g==" saltValue="ofOywvPLbQljuR2o3FKLcA==" spinCount="100000" sheet="1" objects="1" scenarios="1"/>
  <mergeCells count="6">
    <mergeCell ref="C54:I54"/>
    <mergeCell ref="C41:I41"/>
    <mergeCell ref="B38:I39"/>
    <mergeCell ref="B40:I40"/>
    <mergeCell ref="B1:G1"/>
    <mergeCell ref="B4:G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4" ma:contentTypeDescription="Create a new document." ma:contentTypeScope="" ma:versionID="71fff41c8c76357f6e1d68b5b0fdee69">
  <xsd:schema xmlns:xsd="http://www.w3.org/2001/XMLSchema" xmlns:xs="http://www.w3.org/2001/XMLSchema" xmlns:p="http://schemas.microsoft.com/office/2006/metadata/properties" xmlns:ns2="7a18bf6d-f16c-403b-9eec-b9692be18b6b" targetNamespace="http://schemas.microsoft.com/office/2006/metadata/properties" ma:root="true" ma:fieldsID="a9f1cb1aa7fc6833f3d127092f3091ec"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CBA882-0124-4362-A88D-B9FB6D658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EE6201-1404-48E9-850C-6BB656C3A080}">
  <ds:schemaRefs>
    <ds:schemaRef ds:uri="http://schemas.microsoft.com/sharepoint/v3/contenttype/forms"/>
  </ds:schemaRefs>
</ds:datastoreItem>
</file>

<file path=customXml/itemProps3.xml><?xml version="1.0" encoding="utf-8"?>
<ds:datastoreItem xmlns:ds="http://schemas.openxmlformats.org/officeDocument/2006/customXml" ds:itemID="{051A591D-FF43-47C0-B4A4-D8B67902B45A}">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7a18bf6d-f16c-403b-9eec-b9692be18b6b"/>
    <ds:schemaRef ds:uri="http://schemas.microsoft.com/office/2006/metadata/properties"/>
    <ds:schemaRef ds:uri="http://purl.org/dc/dcmitype/"/>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62</vt:i4>
      </vt:variant>
    </vt:vector>
  </HeadingPairs>
  <TitlesOfParts>
    <vt:vector size="70" baseType="lpstr">
      <vt:lpstr>BudgetSummary</vt:lpstr>
      <vt:lpstr>HarvestPackSell</vt:lpstr>
      <vt:lpstr>FieldMaterials</vt:lpstr>
      <vt:lpstr>FieldOperations</vt:lpstr>
      <vt:lpstr>FieldDetails</vt:lpstr>
      <vt:lpstr>OperatingRates</vt:lpstr>
      <vt:lpstr>MachineryLists</vt:lpstr>
      <vt:lpstr>Coefficients</vt:lpstr>
      <vt:lpstr>AvgFarmRevenuePerLb</vt:lpstr>
      <vt:lpstr>CashCropsPerYear</vt:lpstr>
      <vt:lpstr>Coeff1</vt:lpstr>
      <vt:lpstr>Coeff2</vt:lpstr>
      <vt:lpstr>Coeff3</vt:lpstr>
      <vt:lpstr>CropInsuranceCostPerAcre</vt:lpstr>
      <vt:lpstr>CustomCostPerAcre</vt:lpstr>
      <vt:lpstr>CustomServices</vt:lpstr>
      <vt:lpstr>DieselOR_CostPerGal</vt:lpstr>
      <vt:lpstr>Electric_VarCostPerKWH</vt:lpstr>
      <vt:lpstr>FertilizerCostPerAcre</vt:lpstr>
      <vt:lpstr>FieldAcres_Planted</vt:lpstr>
      <vt:lpstr>FieldAcres_Total</vt:lpstr>
      <vt:lpstr>FieldCostPerAcre</vt:lpstr>
      <vt:lpstr>FieldOpsFixedLaborCostPerAcre</vt:lpstr>
      <vt:lpstr>FieldOpsFuelCostPerAcre</vt:lpstr>
      <vt:lpstr>FieldOpsMachRepairCostPerAcre</vt:lpstr>
      <vt:lpstr>FieldOpsVarCost_PreharvestPerAcre</vt:lpstr>
      <vt:lpstr>FieldOpsVarLaborCostPerAcre</vt:lpstr>
      <vt:lpstr>FixedCostAlloc_PreharvestFieldOpsPerAcre</vt:lpstr>
      <vt:lpstr>FixedHPLaborCost</vt:lpstr>
      <vt:lpstr>FixedHPLaborCostPerAcre</vt:lpstr>
      <vt:lpstr>FixedHPOverheadPerAcre</vt:lpstr>
      <vt:lpstr>FoodSafetyCostPerAcre</vt:lpstr>
      <vt:lpstr>FuelTypes</vt:lpstr>
      <vt:lpstr>GasolineCostPerGallon</vt:lpstr>
      <vt:lpstr>GrossRevenuePerAcre</vt:lpstr>
      <vt:lpstr>Implements</vt:lpstr>
      <vt:lpstr>InterestRate_EffectiveOperating</vt:lpstr>
      <vt:lpstr>InterestRate_Machinery</vt:lpstr>
      <vt:lpstr>IrrigDieselLiftFeet</vt:lpstr>
      <vt:lpstr>IrrigDieselPSI</vt:lpstr>
      <vt:lpstr>IrrigDieselUseTable</vt:lpstr>
      <vt:lpstr>IrrigElectricLiftFeet</vt:lpstr>
      <vt:lpstr>IrrigElectricPSI</vt:lpstr>
      <vt:lpstr>IrrigElectricUseTable</vt:lpstr>
      <vt:lpstr>IrrigPowerCostPerAcre</vt:lpstr>
      <vt:lpstr>IrrigPowerCostPerAcreInch</vt:lpstr>
      <vt:lpstr>IrrigPowerType</vt:lpstr>
      <vt:lpstr>IrrigPumpPressure</vt:lpstr>
      <vt:lpstr>IrrigRepairCostPerAcre</vt:lpstr>
      <vt:lpstr>IrrigRMCostPerAcreInch</vt:lpstr>
      <vt:lpstr>IrrigWellDepth</vt:lpstr>
      <vt:lpstr>LaborTypes</vt:lpstr>
      <vt:lpstr>MachineCategories</vt:lpstr>
      <vt:lpstr>MachineCoefficientTable</vt:lpstr>
      <vt:lpstr>MachineryFixedCostPerAcre_Preharvest</vt:lpstr>
      <vt:lpstr>OtherMaterialCostPerAcre</vt:lpstr>
      <vt:lpstr>PackingMaterialCostPerAcre</vt:lpstr>
      <vt:lpstr>PesticideCostPerAcre</vt:lpstr>
      <vt:lpstr>Propane_CostPerGal</vt:lpstr>
      <vt:lpstr>RepF1</vt:lpstr>
      <vt:lpstr>RepF2</vt:lpstr>
      <vt:lpstr>SeedCostPerAcre</vt:lpstr>
      <vt:lpstr>Tractors</vt:lpstr>
      <vt:lpstr>VariableHPOverheadPerAcre</vt:lpstr>
      <vt:lpstr>VarLaborHPCostPerAcre</vt:lpstr>
      <vt:lpstr>VehicleFixedCostPerAcre</vt:lpstr>
      <vt:lpstr>Vehicles</vt:lpstr>
      <vt:lpstr>WholeFarmVegAcres</vt:lpstr>
      <vt:lpstr>WholeFarmYield</vt:lpstr>
      <vt:lpstr>YieldPerAcre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2025-08-22T20:46:02Z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